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8855" windowHeight="7875" activeTab="0"/>
  </bookViews>
  <sheets>
    <sheet name="Assumptions and Summary" sheetId="1" r:id="rId1"/>
    <sheet name="Monthly  Mortgage Calculation" sheetId="2" r:id="rId2"/>
  </sheets>
  <definedNames/>
  <calcPr fullCalcOnLoad="1"/>
</workbook>
</file>

<file path=xl/sharedStrings.xml><?xml version="1.0" encoding="utf-8"?>
<sst xmlns="http://schemas.openxmlformats.org/spreadsheetml/2006/main" count="121" uniqueCount="114">
  <si>
    <t>Renting Case</t>
  </si>
  <si>
    <t>Owning Case</t>
  </si>
  <si>
    <t>Comparison</t>
  </si>
  <si>
    <t>Renting Assumptions</t>
  </si>
  <si>
    <t>House and Mortgage Assumptions</t>
  </si>
  <si>
    <t>Rates as a percent of the house value</t>
  </si>
  <si>
    <t>Initial monthly rent:</t>
  </si>
  <si>
    <t>House purchase Price</t>
  </si>
  <si>
    <t>Mortgage Interest rate:</t>
  </si>
  <si>
    <t>Maintenance %</t>
  </si>
  <si>
    <t>Property tax %</t>
  </si>
  <si>
    <t>Insurance %</t>
  </si>
  <si>
    <t>House Appreciation</t>
  </si>
  <si>
    <t>After x years</t>
  </si>
  <si>
    <t>Winner</t>
  </si>
  <si>
    <t>Downpayment (needs % sign)</t>
  </si>
  <si>
    <t>First 5 Years</t>
  </si>
  <si>
    <t>One</t>
  </si>
  <si>
    <t>Amortization (Max 30)</t>
  </si>
  <si>
    <t>Next 5 Years:</t>
  </si>
  <si>
    <t>Five</t>
  </si>
  <si>
    <t>Ontario Land Transfer Tax</t>
  </si>
  <si>
    <t>Ten</t>
  </si>
  <si>
    <t>CPI rate
 (rent increase)</t>
  </si>
  <si>
    <t>Investment return</t>
  </si>
  <si>
    <t>Renters insurance 
(% of monthly rent)</t>
  </si>
  <si>
    <t>Toronto Land Transfer Tax</t>
  </si>
  <si>
    <t>Twenty</t>
  </si>
  <si>
    <t>For more on the spreadsheet:</t>
  </si>
  <si>
    <t>Title Insurance</t>
  </si>
  <si>
    <t>Calculated Monthly payment</t>
  </si>
  <si>
    <t>Built-in assumptions:</t>
  </si>
  <si>
    <t>Thirty</t>
  </si>
  <si>
    <t>Legal Fees (including disbursments)</t>
  </si>
  <si>
    <t>CMHC premium is capitalized to mortgage</t>
  </si>
  <si>
    <t>Home Inspection</t>
  </si>
  <si>
    <t>Other closing costs are paid as cash</t>
  </si>
  <si>
    <t>CMHC insurance</t>
  </si>
  <si>
    <t>Buyer is not a first time homebuyer</t>
  </si>
  <si>
    <t>Investment Tax Rate:</t>
  </si>
  <si>
    <t>Total Cash to be used toward purchase</t>
  </si>
  <si>
    <t>House is in Ontario</t>
  </si>
  <si>
    <t>Or, enter 0 here and an after-tax rate of investment return above</t>
  </si>
  <si>
    <t>Other Assumptions</t>
  </si>
  <si>
    <t>Commission (on sale only)</t>
  </si>
  <si>
    <t>House is in Toronto (416)</t>
  </si>
  <si>
    <t>Yes</t>
  </si>
  <si>
    <t>Net worth comparison without selling home</t>
  </si>
  <si>
    <t>Assuming house is sold (with sales commission, but no mortgage penalty), and investment portfolio taxed</t>
  </si>
  <si>
    <t>Year</t>
  </si>
  <si>
    <t>Cost of Renting</t>
  </si>
  <si>
    <t>Surplus vs owning (annual)</t>
  </si>
  <si>
    <t>Investment portfolio</t>
  </si>
  <si>
    <t>Mortgage (P+I)</t>
  </si>
  <si>
    <t>Maintenance</t>
  </si>
  <si>
    <t>Property Tax</t>
  </si>
  <si>
    <t>Insurance</t>
  </si>
  <si>
    <t>Annual Cash Outlay</t>
  </si>
  <si>
    <t>Mortgage Balance (opening)</t>
  </si>
  <si>
    <t>Beginning of year House Value</t>
  </si>
  <si>
    <t>Beginning of year Owner's Equity</t>
  </si>
  <si>
    <t>Timing of comparison</t>
  </si>
  <si>
    <t>Renter ahead by</t>
  </si>
  <si>
    <t>At time of Purchase</t>
  </si>
  <si>
    <t>After 1 year</t>
  </si>
  <si>
    <t>After 2 years</t>
  </si>
  <si>
    <t>After 3 years</t>
  </si>
  <si>
    <t>After 4 Years</t>
  </si>
  <si>
    <t>After 5 Years</t>
  </si>
  <si>
    <t>After 6 Years</t>
  </si>
  <si>
    <t>After 7 Years</t>
  </si>
  <si>
    <t>After 8 Years</t>
  </si>
  <si>
    <t>After 9 Years</t>
  </si>
  <si>
    <t>After 10 Years</t>
  </si>
  <si>
    <t>After 11 Years</t>
  </si>
  <si>
    <t>After 12 Years</t>
  </si>
  <si>
    <t>After 13 Years</t>
  </si>
  <si>
    <t>After 14 Years</t>
  </si>
  <si>
    <t>After 15 Years</t>
  </si>
  <si>
    <t>After 16 Years</t>
  </si>
  <si>
    <t>After 17 Years</t>
  </si>
  <si>
    <t>After 18 Years</t>
  </si>
  <si>
    <t>After 19 Years</t>
  </si>
  <si>
    <t>After 20 Years</t>
  </si>
  <si>
    <t>After 21 Years</t>
  </si>
  <si>
    <t>After 22 Years</t>
  </si>
  <si>
    <t>After 23 Years</t>
  </si>
  <si>
    <t>After 24 Years</t>
  </si>
  <si>
    <t>After 25 Years</t>
  </si>
  <si>
    <t>After 26 Years</t>
  </si>
  <si>
    <t>After 27 Years</t>
  </si>
  <si>
    <t>After 28 Years</t>
  </si>
  <si>
    <t>After 29 Years</t>
  </si>
  <si>
    <t>After 30 Years</t>
  </si>
  <si>
    <t>Original created by Potato for http://www.holypotato.net</t>
  </si>
  <si>
    <t>Extensively modified and improved by Matthew Gordon</t>
  </si>
  <si>
    <t>Month</t>
  </si>
  <si>
    <t>Monthly Payment</t>
  </si>
  <si>
    <t>Monthly Interest</t>
  </si>
  <si>
    <t>Ending Principal</t>
  </si>
  <si>
    <t>Assumptions from previous page</t>
  </si>
  <si>
    <t>Amortization</t>
  </si>
  <si>
    <t>Interest rates</t>
  </si>
  <si>
    <t>Stated rate</t>
  </si>
  <si>
    <t>Calculations</t>
  </si>
  <si>
    <t>monthly factor</t>
  </si>
  <si>
    <t>monthly payment</t>
  </si>
  <si>
    <t>Conclusion in blue to the right. (scroll over!)</t>
  </si>
  <si>
    <t>www.holypotato.net/?p=1073</t>
  </si>
  <si>
    <t>Welcome to the ultimate rent vs buy comparison tool!</t>
  </si>
  <si>
    <t>Thanks, Potato</t>
  </si>
  <si>
    <t>The default numbers represent the case for a small detached house in North Toronto in 2011.</t>
  </si>
  <si>
    <r>
      <t>Input fields are in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blue bold 12-pt font</t>
    </r>
  </si>
  <si>
    <t>Change the assumptions and figures to suit your situation.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</si>
</sst>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0.0%"/>
    <numFmt numFmtId="168" formatCode="0.000%"/>
    <numFmt numFmtId="169" formatCode="0.0000%"/>
    <numFmt numFmtId="170" formatCode="0.00000%"/>
    <numFmt numFmtId="171" formatCode="_-* #,##0.0_-;\-* #,##0.0_-;_-* &quot;-&quot;??_-;_-@_-"/>
    <numFmt numFmtId="172" formatCode="_-* #,##0_-;\-* #,##0_-;_-* &quot;-&quot;??_-;_-@_-"/>
    <numFmt numFmtId="173" formatCode="&quot;$&quot;#,##0.0"/>
    <numFmt numFmtId="174" formatCode="&quot;$&quot;#,##0"/>
  </numFmts>
  <fonts count="2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3">
    <xf numFmtId="0" fontId="0" fillId="0" borderId="0" xfId="0" applyAlignment="1">
      <alignment wrapText="1"/>
    </xf>
    <xf numFmtId="4" fontId="0" fillId="7" borderId="10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wrapText="1"/>
    </xf>
    <xf numFmtId="3" fontId="0" fillId="4" borderId="0" xfId="0" applyNumberFormat="1" applyFont="1" applyFill="1" applyAlignment="1">
      <alignment wrapText="1"/>
    </xf>
    <xf numFmtId="0" fontId="0" fillId="9" borderId="11" xfId="0" applyFont="1" applyFill="1" applyBorder="1" applyAlignment="1">
      <alignment wrapText="1"/>
    </xf>
    <xf numFmtId="10" fontId="0" fillId="7" borderId="10" xfId="0" applyNumberFormat="1" applyFont="1" applyFill="1" applyBorder="1" applyAlignment="1">
      <alignment wrapText="1"/>
    </xf>
    <xf numFmtId="0" fontId="0" fillId="8" borderId="0" xfId="0" applyFont="1" applyFill="1" applyAlignment="1">
      <alignment wrapText="1"/>
    </xf>
    <xf numFmtId="0" fontId="0" fillId="0" borderId="12" xfId="0" applyFont="1" applyBorder="1" applyAlignment="1">
      <alignment wrapText="1"/>
    </xf>
    <xf numFmtId="0" fontId="0" fillId="24" borderId="0" xfId="0" applyFont="1" applyFill="1" applyAlignment="1">
      <alignment wrapText="1"/>
    </xf>
    <xf numFmtId="0" fontId="0" fillId="4" borderId="13" xfId="0" applyFont="1" applyFill="1" applyBorder="1" applyAlignment="1">
      <alignment wrapText="1"/>
    </xf>
    <xf numFmtId="164" fontId="0" fillId="9" borderId="0" xfId="0" applyNumberFormat="1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0" fillId="0" borderId="14" xfId="0" applyFont="1" applyBorder="1" applyAlignment="1">
      <alignment wrapText="1"/>
    </xf>
    <xf numFmtId="3" fontId="2" fillId="9" borderId="0" xfId="0" applyNumberFormat="1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9" borderId="0" xfId="0" applyFont="1" applyFill="1" applyAlignment="1">
      <alignment horizontal="center" wrapText="1"/>
    </xf>
    <xf numFmtId="4" fontId="0" fillId="7" borderId="15" xfId="0" applyNumberFormat="1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0" fillId="8" borderId="16" xfId="0" applyFont="1" applyFill="1" applyBorder="1" applyAlignment="1">
      <alignment wrapText="1"/>
    </xf>
    <xf numFmtId="0" fontId="0" fillId="8" borderId="17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10" fontId="0" fillId="7" borderId="19" xfId="0" applyNumberFormat="1" applyFont="1" applyFill="1" applyBorder="1" applyAlignment="1">
      <alignment wrapText="1"/>
    </xf>
    <xf numFmtId="0" fontId="0" fillId="4" borderId="13" xfId="0" applyFont="1" applyFill="1" applyBorder="1" applyAlignment="1">
      <alignment wrapText="1"/>
    </xf>
    <xf numFmtId="0" fontId="0" fillId="7" borderId="14" xfId="0" applyFont="1" applyFill="1" applyBorder="1" applyAlignment="1">
      <alignment wrapText="1"/>
    </xf>
    <xf numFmtId="0" fontId="0" fillId="7" borderId="18" xfId="0" applyFont="1" applyFill="1" applyBorder="1" applyAlignment="1">
      <alignment wrapText="1"/>
    </xf>
    <xf numFmtId="0" fontId="0" fillId="9" borderId="13" xfId="0" applyFont="1" applyFill="1" applyBorder="1" applyAlignment="1">
      <alignment wrapText="1"/>
    </xf>
    <xf numFmtId="0" fontId="2" fillId="8" borderId="0" xfId="0" applyFont="1" applyFill="1" applyAlignment="1">
      <alignment wrapText="1"/>
    </xf>
    <xf numFmtId="0" fontId="0" fillId="4" borderId="16" xfId="0" applyFont="1" applyFill="1" applyBorder="1" applyAlignment="1">
      <alignment wrapText="1"/>
    </xf>
    <xf numFmtId="0" fontId="0" fillId="9" borderId="12" xfId="0" applyFont="1" applyFill="1" applyBorder="1" applyAlignment="1">
      <alignment wrapText="1"/>
    </xf>
    <xf numFmtId="0" fontId="0" fillId="4" borderId="16" xfId="0" applyFont="1" applyFill="1" applyBorder="1" applyAlignment="1">
      <alignment wrapText="1"/>
    </xf>
    <xf numFmtId="0" fontId="0" fillId="7" borderId="20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7" borderId="17" xfId="0" applyFont="1" applyFill="1" applyBorder="1" applyAlignment="1">
      <alignment wrapText="1"/>
    </xf>
    <xf numFmtId="0" fontId="0" fillId="9" borderId="10" xfId="0" applyFont="1" applyFill="1" applyBorder="1" applyAlignment="1">
      <alignment wrapText="1"/>
    </xf>
    <xf numFmtId="164" fontId="0" fillId="7" borderId="10" xfId="0" applyNumberFormat="1" applyFont="1" applyFill="1" applyBorder="1" applyAlignment="1">
      <alignment wrapText="1"/>
    </xf>
    <xf numFmtId="0" fontId="0" fillId="7" borderId="19" xfId="0" applyFont="1" applyFill="1" applyBorder="1" applyAlignment="1">
      <alignment wrapText="1"/>
    </xf>
    <xf numFmtId="0" fontId="0" fillId="7" borderId="15" xfId="0" applyFont="1" applyFill="1" applyBorder="1" applyAlignment="1">
      <alignment wrapText="1"/>
    </xf>
    <xf numFmtId="0" fontId="2" fillId="9" borderId="0" xfId="0" applyFont="1" applyFill="1" applyAlignment="1">
      <alignment horizontal="center" wrapText="1"/>
    </xf>
    <xf numFmtId="0" fontId="0" fillId="9" borderId="0" xfId="0" applyFont="1" applyFill="1" applyAlignment="1">
      <alignment wrapText="1"/>
    </xf>
    <xf numFmtId="0" fontId="0" fillId="9" borderId="18" xfId="0" applyFont="1" applyFill="1" applyBorder="1" applyAlignment="1">
      <alignment wrapText="1"/>
    </xf>
    <xf numFmtId="0" fontId="0" fillId="4" borderId="17" xfId="0" applyFont="1" applyFill="1" applyBorder="1" applyAlignment="1">
      <alignment wrapText="1"/>
    </xf>
    <xf numFmtId="0" fontId="0" fillId="9" borderId="2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24" borderId="0" xfId="0" applyNumberFormat="1" applyFont="1" applyFill="1" applyAlignment="1">
      <alignment wrapText="1"/>
    </xf>
    <xf numFmtId="0" fontId="0" fillId="8" borderId="21" xfId="0" applyFont="1" applyFill="1" applyBorder="1" applyAlignment="1">
      <alignment wrapText="1"/>
    </xf>
    <xf numFmtId="0" fontId="0" fillId="8" borderId="0" xfId="0" applyFill="1" applyAlignment="1">
      <alignment horizontal="center" wrapText="1"/>
    </xf>
    <xf numFmtId="41" fontId="0" fillId="9" borderId="0" xfId="0" applyNumberFormat="1" applyFont="1" applyFill="1" applyAlignment="1">
      <alignment wrapText="1"/>
    </xf>
    <xf numFmtId="0" fontId="0" fillId="7" borderId="10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wrapText="1"/>
    </xf>
    <xf numFmtId="3" fontId="0" fillId="9" borderId="0" xfId="0" applyNumberFormat="1" applyFont="1" applyFill="1" applyAlignment="1">
      <alignment wrapText="1"/>
    </xf>
    <xf numFmtId="0" fontId="0" fillId="9" borderId="17" xfId="0" applyFont="1" applyFill="1" applyBorder="1" applyAlignment="1">
      <alignment wrapText="1"/>
    </xf>
    <xf numFmtId="0" fontId="0" fillId="7" borderId="22" xfId="0" applyFont="1" applyFill="1" applyBorder="1" applyAlignment="1">
      <alignment wrapText="1"/>
    </xf>
    <xf numFmtId="0" fontId="0" fillId="8" borderId="13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0" fillId="8" borderId="19" xfId="0" applyFont="1" applyFill="1" applyBorder="1" applyAlignment="1">
      <alignment wrapText="1"/>
    </xf>
    <xf numFmtId="164" fontId="0" fillId="4" borderId="21" xfId="0" applyNumberFormat="1" applyFont="1" applyFill="1" applyBorder="1" applyAlignment="1">
      <alignment horizontal="center" wrapText="1"/>
    </xf>
    <xf numFmtId="3" fontId="2" fillId="4" borderId="0" xfId="0" applyNumberFormat="1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4" borderId="19" xfId="0" applyFont="1" applyFill="1" applyBorder="1" applyAlignment="1">
      <alignment wrapText="1"/>
    </xf>
    <xf numFmtId="0" fontId="0" fillId="8" borderId="23" xfId="0" applyFont="1" applyFill="1" applyBorder="1" applyAlignment="1">
      <alignment wrapText="1"/>
    </xf>
    <xf numFmtId="0" fontId="0" fillId="9" borderId="23" xfId="0" applyFont="1" applyFill="1" applyBorder="1" applyAlignment="1">
      <alignment wrapText="1"/>
    </xf>
    <xf numFmtId="0" fontId="0" fillId="7" borderId="16" xfId="0" applyFont="1" applyFill="1" applyBorder="1" applyAlignment="1">
      <alignment wrapText="1"/>
    </xf>
    <xf numFmtId="0" fontId="0" fillId="9" borderId="12" xfId="0" applyFont="1" applyFill="1" applyBorder="1" applyAlignment="1">
      <alignment wrapText="1"/>
    </xf>
    <xf numFmtId="4" fontId="0" fillId="7" borderId="23" xfId="0" applyNumberFormat="1" applyFont="1" applyFill="1" applyBorder="1" applyAlignment="1">
      <alignment wrapText="1"/>
    </xf>
    <xf numFmtId="164" fontId="0" fillId="7" borderId="15" xfId="0" applyNumberFormat="1" applyFont="1" applyFill="1" applyBorder="1" applyAlignment="1">
      <alignment wrapText="1"/>
    </xf>
    <xf numFmtId="0" fontId="0" fillId="9" borderId="19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0" fillId="0" borderId="17" xfId="0" applyFont="1" applyBorder="1" applyAlignment="1">
      <alignment wrapText="1"/>
    </xf>
    <xf numFmtId="0" fontId="0" fillId="8" borderId="14" xfId="0" applyFont="1" applyFill="1" applyBorder="1" applyAlignment="1">
      <alignment wrapText="1"/>
    </xf>
    <xf numFmtId="0" fontId="0" fillId="9" borderId="14" xfId="0" applyFont="1" applyFill="1" applyBorder="1" applyAlignment="1">
      <alignment wrapText="1"/>
    </xf>
    <xf numFmtId="0" fontId="0" fillId="9" borderId="15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8" borderId="15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9" borderId="0" xfId="0" applyFont="1" applyFill="1" applyAlignment="1">
      <alignment wrapText="1"/>
    </xf>
    <xf numFmtId="0" fontId="0" fillId="23" borderId="0" xfId="0" applyFill="1" applyAlignment="1">
      <alignment wrapText="1"/>
    </xf>
    <xf numFmtId="0" fontId="0" fillId="8" borderId="20" xfId="0" applyFont="1" applyFill="1" applyBorder="1" applyAlignment="1">
      <alignment wrapText="1"/>
    </xf>
    <xf numFmtId="0" fontId="0" fillId="9" borderId="20" xfId="0" applyFont="1" applyFill="1" applyBorder="1" applyAlignment="1">
      <alignment wrapText="1"/>
    </xf>
    <xf numFmtId="0" fontId="2" fillId="4" borderId="0" xfId="0" applyFont="1" applyFill="1" applyAlignment="1">
      <alignment horizontal="center" wrapText="1"/>
    </xf>
    <xf numFmtId="0" fontId="0" fillId="9" borderId="24" xfId="0" applyFont="1" applyFill="1" applyBorder="1" applyAlignment="1">
      <alignment wrapText="1"/>
    </xf>
    <xf numFmtId="166" fontId="0" fillId="8" borderId="0" xfId="44" applyNumberFormat="1" applyFont="1" applyFill="1" applyAlignment="1">
      <alignment horizontal="right" wrapText="1"/>
    </xf>
    <xf numFmtId="10" fontId="23" fillId="4" borderId="14" xfId="0" applyNumberFormat="1" applyFont="1" applyFill="1" applyBorder="1" applyAlignment="1">
      <alignment wrapText="1"/>
    </xf>
    <xf numFmtId="10" fontId="23" fillId="4" borderId="23" xfId="0" applyNumberFormat="1" applyFont="1" applyFill="1" applyBorder="1" applyAlignment="1">
      <alignment wrapText="1"/>
    </xf>
    <xf numFmtId="10" fontId="23" fillId="4" borderId="0" xfId="0" applyNumberFormat="1" applyFont="1" applyFill="1" applyAlignment="1">
      <alignment wrapText="1"/>
    </xf>
    <xf numFmtId="10" fontId="23" fillId="4" borderId="10" xfId="0" applyNumberFormat="1" applyFont="1" applyFill="1" applyBorder="1" applyAlignment="1">
      <alignment wrapText="1"/>
    </xf>
    <xf numFmtId="10" fontId="23" fillId="4" borderId="17" xfId="0" applyNumberFormat="1" applyFont="1" applyFill="1" applyBorder="1" applyAlignment="1">
      <alignment wrapText="1"/>
    </xf>
    <xf numFmtId="10" fontId="23" fillId="4" borderId="15" xfId="0" applyNumberFormat="1" applyFont="1" applyFill="1" applyBorder="1" applyAlignment="1">
      <alignment wrapText="1"/>
    </xf>
    <xf numFmtId="10" fontId="23" fillId="4" borderId="21" xfId="0" applyNumberFormat="1" applyFont="1" applyFill="1" applyBorder="1" applyAlignment="1">
      <alignment wrapText="1"/>
    </xf>
    <xf numFmtId="164" fontId="23" fillId="7" borderId="23" xfId="0" applyNumberFormat="1" applyFont="1" applyFill="1" applyBorder="1" applyAlignment="1">
      <alignment wrapText="1"/>
    </xf>
    <xf numFmtId="10" fontId="23" fillId="7" borderId="10" xfId="0" applyNumberFormat="1" applyFont="1" applyFill="1" applyBorder="1" applyAlignment="1">
      <alignment wrapText="1"/>
    </xf>
    <xf numFmtId="0" fontId="23" fillId="7" borderId="10" xfId="0" applyFont="1" applyFill="1" applyBorder="1" applyAlignment="1">
      <alignment wrapText="1"/>
    </xf>
    <xf numFmtId="10" fontId="23" fillId="7" borderId="23" xfId="0" applyNumberFormat="1" applyFont="1" applyFill="1" applyBorder="1" applyAlignment="1">
      <alignment wrapText="1"/>
    </xf>
    <xf numFmtId="10" fontId="23" fillId="7" borderId="15" xfId="0" applyNumberFormat="1" applyFont="1" applyFill="1" applyBorder="1" applyAlignment="1">
      <alignment horizontal="right" wrapText="1"/>
    </xf>
    <xf numFmtId="10" fontId="23" fillId="7" borderId="11" xfId="0" applyNumberFormat="1" applyFont="1" applyFill="1" applyBorder="1" applyAlignment="1">
      <alignment wrapText="1"/>
    </xf>
    <xf numFmtId="10" fontId="23" fillId="7" borderId="18" xfId="0" applyNumberFormat="1" applyFont="1" applyFill="1" applyBorder="1" applyAlignment="1">
      <alignment wrapText="1"/>
    </xf>
    <xf numFmtId="10" fontId="23" fillId="7" borderId="22" xfId="0" applyNumberFormat="1" applyFont="1" applyFill="1" applyBorder="1" applyAlignment="1">
      <alignment wrapText="1"/>
    </xf>
    <xf numFmtId="10" fontId="23" fillId="7" borderId="20" xfId="0" applyNumberFormat="1" applyFont="1" applyFill="1" applyBorder="1" applyAlignment="1">
      <alignment wrapText="1"/>
    </xf>
    <xf numFmtId="10" fontId="23" fillId="7" borderId="14" xfId="0" applyNumberFormat="1" applyFont="1" applyFill="1" applyBorder="1" applyAlignment="1">
      <alignment wrapText="1"/>
    </xf>
    <xf numFmtId="10" fontId="23" fillId="7" borderId="19" xfId="0" applyNumberFormat="1" applyFont="1" applyFill="1" applyBorder="1" applyAlignment="1">
      <alignment wrapText="1"/>
    </xf>
    <xf numFmtId="10" fontId="23" fillId="7" borderId="0" xfId="0" applyNumberFormat="1" applyFont="1" applyFill="1" applyAlignment="1">
      <alignment wrapText="1"/>
    </xf>
    <xf numFmtId="10" fontId="23" fillId="7" borderId="16" xfId="0" applyNumberFormat="1" applyFont="1" applyFill="1" applyBorder="1" applyAlignment="1">
      <alignment wrapText="1"/>
    </xf>
    <xf numFmtId="10" fontId="23" fillId="7" borderId="17" xfId="0" applyNumberFormat="1" applyFont="1" applyFill="1" applyBorder="1" applyAlignment="1">
      <alignment wrapText="1"/>
    </xf>
    <xf numFmtId="10" fontId="23" fillId="7" borderId="15" xfId="0" applyNumberFormat="1" applyFont="1" applyFill="1" applyBorder="1" applyAlignment="1">
      <alignment wrapText="1"/>
    </xf>
    <xf numFmtId="166" fontId="0" fillId="8" borderId="0" xfId="44" applyNumberFormat="1" applyFont="1" applyFill="1" applyAlignment="1">
      <alignment wrapText="1"/>
    </xf>
    <xf numFmtId="0" fontId="0" fillId="4" borderId="25" xfId="0" applyFont="1" applyFill="1" applyBorder="1" applyAlignment="1">
      <alignment wrapText="1"/>
    </xf>
    <xf numFmtId="0" fontId="0" fillId="4" borderId="26" xfId="0" applyFont="1" applyFill="1" applyBorder="1" applyAlignment="1">
      <alignment wrapText="1"/>
    </xf>
    <xf numFmtId="0" fontId="0" fillId="4" borderId="27" xfId="0" applyFont="1" applyFill="1" applyBorder="1" applyAlignment="1">
      <alignment wrapText="1"/>
    </xf>
    <xf numFmtId="172" fontId="0" fillId="4" borderId="0" xfId="42" applyNumberFormat="1" applyFont="1" applyFill="1" applyAlignment="1">
      <alignment horizontal="right" wrapText="1"/>
    </xf>
    <xf numFmtId="174" fontId="23" fillId="4" borderId="21" xfId="0" applyNumberFormat="1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7" borderId="22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9" borderId="24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2" fillId="8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9" borderId="24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7" borderId="18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23" borderId="0" xfId="0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0" fillId="23" borderId="0" xfId="0" applyFill="1" applyAlignment="1">
      <alignment wrapText="1"/>
    </xf>
    <xf numFmtId="0" fontId="0" fillId="4" borderId="24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2" fillId="9" borderId="11" xfId="0" applyFont="1" applyFill="1" applyBorder="1" applyAlignment="1">
      <alignment horizontal="center" wrapText="1"/>
    </xf>
    <xf numFmtId="0" fontId="2" fillId="9" borderId="2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lypotato.net/?p=107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H7" sqref="H7"/>
    </sheetView>
  </sheetViews>
  <sheetFormatPr defaultColWidth="17.140625" defaultRowHeight="12.75" customHeight="1"/>
  <cols>
    <col min="1" max="1" width="27.421875" style="0" customWidth="1"/>
    <col min="2" max="2" width="13.421875" style="0" customWidth="1"/>
    <col min="3" max="3" width="13.28125" style="0" customWidth="1"/>
    <col min="4" max="4" width="12.8515625" style="0" customWidth="1"/>
    <col min="6" max="6" width="4.421875" style="0" customWidth="1"/>
    <col min="7" max="7" width="22.28125" style="0" customWidth="1"/>
    <col min="9" max="9" width="13.8515625" style="0" customWidth="1"/>
    <col min="10" max="10" width="14.421875" style="0" customWidth="1"/>
    <col min="16" max="16" width="17.28125" style="0" customWidth="1"/>
    <col min="17" max="17" width="16.140625" style="0" customWidth="1"/>
    <col min="18" max="18" width="17.8515625" style="0" customWidth="1"/>
  </cols>
  <sheetData>
    <row r="1" spans="2:18" ht="18" customHeight="1">
      <c r="B1" s="125" t="s">
        <v>0</v>
      </c>
      <c r="C1" s="118"/>
      <c r="D1" s="118"/>
      <c r="E1" s="118"/>
      <c r="G1" s="126" t="s">
        <v>1</v>
      </c>
      <c r="H1" s="118"/>
      <c r="I1" s="118"/>
      <c r="J1" s="118"/>
      <c r="K1" s="118"/>
      <c r="L1" s="118"/>
      <c r="M1" s="118"/>
      <c r="N1" s="118"/>
      <c r="O1" s="118"/>
      <c r="Q1" s="127" t="s">
        <v>2</v>
      </c>
      <c r="R1" s="118"/>
    </row>
    <row r="2" spans="1:18" ht="12.75">
      <c r="A2" s="128" t="s">
        <v>109</v>
      </c>
      <c r="B2" s="54"/>
      <c r="C2" s="54"/>
      <c r="D2" s="54"/>
      <c r="E2" s="54"/>
      <c r="G2" s="39"/>
      <c r="H2" s="39"/>
      <c r="I2" s="39"/>
      <c r="J2" s="39"/>
      <c r="K2" s="39"/>
      <c r="L2" s="39"/>
      <c r="M2" s="39"/>
      <c r="N2" s="39"/>
      <c r="O2" s="39"/>
      <c r="Q2" s="6"/>
      <c r="R2" s="6"/>
    </row>
    <row r="3" spans="1:18" ht="12.75">
      <c r="A3" s="118"/>
      <c r="B3" s="54"/>
      <c r="C3" s="41"/>
      <c r="D3" s="41"/>
      <c r="E3" s="54"/>
      <c r="G3" s="51"/>
      <c r="H3" s="51"/>
      <c r="I3" s="39"/>
      <c r="J3" s="39"/>
      <c r="K3" s="39"/>
      <c r="L3" s="51"/>
      <c r="M3" s="51"/>
      <c r="N3" s="51"/>
      <c r="O3" s="51"/>
      <c r="Q3" s="6"/>
      <c r="R3" s="6"/>
    </row>
    <row r="4" spans="1:18" ht="12.75">
      <c r="A4" s="118"/>
      <c r="B4" s="14"/>
      <c r="C4" s="129" t="s">
        <v>3</v>
      </c>
      <c r="D4" s="116"/>
      <c r="E4" s="59"/>
      <c r="F4" s="43"/>
      <c r="G4" s="115" t="s">
        <v>4</v>
      </c>
      <c r="H4" s="116"/>
      <c r="I4" s="66"/>
      <c r="J4" s="51"/>
      <c r="K4" s="71"/>
      <c r="L4" s="119" t="s">
        <v>5</v>
      </c>
      <c r="M4" s="130"/>
      <c r="N4" s="130"/>
      <c r="O4" s="116"/>
      <c r="P4" s="32"/>
      <c r="Q4" s="20"/>
      <c r="R4" s="20"/>
    </row>
    <row r="5" spans="1:19" ht="25.5" customHeight="1">
      <c r="A5" s="124" t="s">
        <v>111</v>
      </c>
      <c r="B5" s="14"/>
      <c r="C5" s="23" t="s">
        <v>6</v>
      </c>
      <c r="D5" s="109">
        <v>2100</v>
      </c>
      <c r="E5" s="59"/>
      <c r="F5" s="43"/>
      <c r="G5" s="31" t="s">
        <v>7</v>
      </c>
      <c r="H5" s="89">
        <v>510000</v>
      </c>
      <c r="I5" s="40"/>
      <c r="J5" s="80"/>
      <c r="K5" s="80" t="s">
        <v>8</v>
      </c>
      <c r="L5" s="26" t="s">
        <v>9</v>
      </c>
      <c r="M5" s="63" t="s">
        <v>10</v>
      </c>
      <c r="N5" s="63" t="s">
        <v>11</v>
      </c>
      <c r="O5" s="42" t="s">
        <v>12</v>
      </c>
      <c r="P5" s="21"/>
      <c r="Q5" s="53" t="s">
        <v>13</v>
      </c>
      <c r="R5" s="45" t="s">
        <v>14</v>
      </c>
      <c r="S5" s="32"/>
    </row>
    <row r="6" spans="1:19" ht="25.5" customHeight="1">
      <c r="A6" s="124"/>
      <c r="B6" s="54"/>
      <c r="C6" s="18"/>
      <c r="D6" s="18"/>
      <c r="E6" s="54"/>
      <c r="F6" s="43"/>
      <c r="G6" s="36" t="s">
        <v>15</v>
      </c>
      <c r="H6" s="90">
        <v>0.1</v>
      </c>
      <c r="I6" s="40"/>
      <c r="J6" s="2" t="s">
        <v>16</v>
      </c>
      <c r="K6" s="94">
        <v>0.0349</v>
      </c>
      <c r="L6" s="97">
        <v>0.011</v>
      </c>
      <c r="M6" s="98">
        <v>0.008631935172362</v>
      </c>
      <c r="N6" s="98">
        <v>0.00226</v>
      </c>
      <c r="O6" s="92">
        <v>0.02</v>
      </c>
      <c r="P6" s="21"/>
      <c r="Q6" s="77" t="s">
        <v>17</v>
      </c>
      <c r="R6" s="60" t="str">
        <f>IF((R22&gt;0),CONCATENATE("Renting by $",ROUND(R22,0)),CONCATENATE("Buying by $",-ROUND(R22,0)))</f>
        <v>Renting by $53165</v>
      </c>
      <c r="S6" s="32"/>
    </row>
    <row r="7" spans="1:19" ht="26.25">
      <c r="A7" s="76" t="s">
        <v>113</v>
      </c>
      <c r="B7" s="54"/>
      <c r="C7" s="54"/>
      <c r="D7" s="54"/>
      <c r="E7" s="54"/>
      <c r="F7" s="43"/>
      <c r="G7" s="36" t="s">
        <v>18</v>
      </c>
      <c r="H7" s="91">
        <v>25</v>
      </c>
      <c r="I7" s="40"/>
      <c r="J7" s="25" t="s">
        <v>19</v>
      </c>
      <c r="K7" s="95">
        <v>0.045</v>
      </c>
      <c r="L7" s="99">
        <v>0.011</v>
      </c>
      <c r="M7" s="100">
        <v>0.009512047442854</v>
      </c>
      <c r="N7" s="100">
        <v>0.0024</v>
      </c>
      <c r="O7" s="90">
        <v>0.02</v>
      </c>
      <c r="P7" s="21"/>
      <c r="Q7" s="55" t="s">
        <v>20</v>
      </c>
      <c r="R7" s="17" t="str">
        <f>IF((R26&gt;0),CONCATENATE("Renting by $",ROUND(R26,0)),CONCATENATE("Buying by $",-ROUND(R26,0)))</f>
        <v>Renting by $43604</v>
      </c>
      <c r="S7" s="32"/>
    </row>
    <row r="8" spans="1:19" ht="26.25">
      <c r="A8" s="76" t="s">
        <v>112</v>
      </c>
      <c r="B8" s="41"/>
      <c r="C8" s="41"/>
      <c r="D8" s="41"/>
      <c r="E8" s="41"/>
      <c r="F8" s="43"/>
      <c r="G8" s="36" t="s">
        <v>21</v>
      </c>
      <c r="H8" s="48">
        <f>IF((H5&gt;400000),(4475+((H5-400000)*0.02)),IF((H5&gt;250000),(2225+((H5-250000)*0.015)),IF((H5&gt;55000),(275+((H5-55000)*0.01)),(H5*0.005))))</f>
        <v>6675</v>
      </c>
      <c r="I8" s="40"/>
      <c r="J8" s="52" t="str">
        <f>("Final "&amp;(H7-10))&amp;" Years"</f>
        <v>Final 15 Years</v>
      </c>
      <c r="K8" s="96">
        <v>0.055</v>
      </c>
      <c r="L8" s="101">
        <v>0.011</v>
      </c>
      <c r="M8" s="102">
        <v>0.012196743208596</v>
      </c>
      <c r="N8" s="102">
        <v>0.0025</v>
      </c>
      <c r="O8" s="103">
        <v>0.02</v>
      </c>
      <c r="P8" s="21"/>
      <c r="Q8" s="55" t="s">
        <v>22</v>
      </c>
      <c r="R8" s="17" t="str">
        <f>IF((R31&gt;0),CONCATENATE("Renting by $",ROUND(R31,0)),CONCATENATE("Buying by $",-ROUND(R31,0)))</f>
        <v>Renting by $67414</v>
      </c>
      <c r="S8" s="32"/>
    </row>
    <row r="9" spans="1:19" ht="25.5" customHeight="1">
      <c r="A9" s="76" t="s">
        <v>107</v>
      </c>
      <c r="B9" s="105"/>
      <c r="C9" s="49" t="s">
        <v>23</v>
      </c>
      <c r="D9" s="49" t="s">
        <v>24</v>
      </c>
      <c r="E9" s="56" t="s">
        <v>25</v>
      </c>
      <c r="F9" s="21"/>
      <c r="G9" s="36" t="s">
        <v>26</v>
      </c>
      <c r="H9" s="48">
        <f>IF((H18="YES"),IF((H5&gt;400000),(3725+((H5-400000)*0.02)),IF((H5&gt;55000),(275+((H5-55000)*0.01)),(H5*0.005))),0)</f>
        <v>5925</v>
      </c>
      <c r="I9" s="66"/>
      <c r="J9" s="29"/>
      <c r="K9" s="29"/>
      <c r="L9" s="70"/>
      <c r="M9" s="29"/>
      <c r="N9" s="29"/>
      <c r="O9" s="70"/>
      <c r="P9" s="43"/>
      <c r="Q9" s="55" t="s">
        <v>27</v>
      </c>
      <c r="R9" s="17" t="str">
        <f>IF((R41&gt;0),CONCATENATE("Renting by $",ROUND(R41,0)),CONCATENATE("Buying by $",-ROUND(R41,0)))</f>
        <v>Renting by $261303</v>
      </c>
      <c r="S9" s="32"/>
    </row>
    <row r="10" spans="1:19" ht="25.5" customHeight="1">
      <c r="A10" s="76" t="s">
        <v>28</v>
      </c>
      <c r="B10" s="106" t="s">
        <v>16</v>
      </c>
      <c r="C10" s="82">
        <v>0.02</v>
      </c>
      <c r="D10" s="82">
        <v>0.07</v>
      </c>
      <c r="E10" s="83">
        <v>0.01</v>
      </c>
      <c r="F10" s="21"/>
      <c r="G10" s="36" t="s">
        <v>29</v>
      </c>
      <c r="H10" s="91">
        <v>250</v>
      </c>
      <c r="I10" s="40"/>
      <c r="J10" s="26"/>
      <c r="K10" s="42" t="s">
        <v>30</v>
      </c>
      <c r="L10" s="40"/>
      <c r="M10" s="119" t="s">
        <v>31</v>
      </c>
      <c r="N10" s="116"/>
      <c r="O10" s="66"/>
      <c r="P10" s="43"/>
      <c r="Q10" s="19" t="s">
        <v>32</v>
      </c>
      <c r="R10" s="73" t="str">
        <f>IF((R51&gt;0),CONCATENATE("Renting by $",ROUND(R51,0)),CONCATENATE("Buying by $",-ROUND(R51,0)))</f>
        <v>Renting by $716481</v>
      </c>
      <c r="S10" s="32"/>
    </row>
    <row r="11" spans="1:18" ht="25.5" customHeight="1">
      <c r="A11" s="76" t="s">
        <v>108</v>
      </c>
      <c r="B11" s="107" t="s">
        <v>19</v>
      </c>
      <c r="C11" s="84">
        <v>0.02</v>
      </c>
      <c r="D11" s="84">
        <v>0.07</v>
      </c>
      <c r="E11" s="85">
        <v>0.01</v>
      </c>
      <c r="F11" s="21"/>
      <c r="G11" s="36" t="s">
        <v>33</v>
      </c>
      <c r="H11" s="91">
        <v>1500</v>
      </c>
      <c r="I11" s="40"/>
      <c r="J11" s="31" t="s">
        <v>16</v>
      </c>
      <c r="K11" s="64">
        <f>'Monthly  Mortgage Calculation'!I13</f>
        <v>2344.1702964999713</v>
      </c>
      <c r="L11" s="40"/>
      <c r="M11" s="120" t="s">
        <v>34</v>
      </c>
      <c r="N11" s="121"/>
      <c r="O11" s="66"/>
      <c r="Q11" s="69"/>
      <c r="R11" s="69"/>
    </row>
    <row r="12" spans="1:18" ht="15.75">
      <c r="A12" s="76" t="s">
        <v>110</v>
      </c>
      <c r="B12" s="30" t="str">
        <f>("Final "&amp;(H7-10))&amp;" Years"</f>
        <v>Final 15 Years</v>
      </c>
      <c r="C12" s="86">
        <v>0.02</v>
      </c>
      <c r="D12" s="86">
        <v>0.07</v>
      </c>
      <c r="E12" s="87">
        <v>0.01</v>
      </c>
      <c r="F12" s="21"/>
      <c r="G12" s="36" t="s">
        <v>35</v>
      </c>
      <c r="H12" s="91">
        <v>400</v>
      </c>
      <c r="I12" s="40"/>
      <c r="J12" s="36" t="s">
        <v>19</v>
      </c>
      <c r="K12" s="1">
        <f>'Monthly  Mortgage Calculation'!I14</f>
        <v>2556.01211814809</v>
      </c>
      <c r="L12" s="40"/>
      <c r="M12" s="122" t="s">
        <v>36</v>
      </c>
      <c r="N12" s="123"/>
      <c r="O12" s="66"/>
      <c r="Q12" s="6"/>
      <c r="R12" s="6"/>
    </row>
    <row r="13" spans="2:18" ht="12.75">
      <c r="B13" s="18"/>
      <c r="C13" s="72"/>
      <c r="D13" s="72"/>
      <c r="E13" s="18"/>
      <c r="F13" s="43"/>
      <c r="G13" s="36" t="s">
        <v>37</v>
      </c>
      <c r="H13" s="5">
        <f>IF((H7&gt;25),(IF((H6&gt;=(20/100)),0,IF((H6&gt;=(15/100)),(1.95/100),IF((H6&gt;=(10/100)),(2.2/100),IF((H6&gt;=(5/100)),(2.95/100),(100/100)))))),IF((H6&gt;=(20/100)),0,IF((H6&gt;=(15/100)),(1.8/100),IF((H6&gt;=(10/100)),(2.4/100),IF((H6&gt;=(5/100)),(3.15/100),(100/100))))))</f>
        <v>0.024</v>
      </c>
      <c r="I13" s="40"/>
      <c r="J13" s="62" t="str">
        <f>("Final "&amp;(H7-10))&amp;" Years"</f>
        <v>Final 15 Years</v>
      </c>
      <c r="K13" s="16">
        <f>'Monthly  Mortgage Calculation'!I15</f>
        <v>2726.6545721843722</v>
      </c>
      <c r="L13" s="40"/>
      <c r="M13" s="122" t="s">
        <v>38</v>
      </c>
      <c r="N13" s="123"/>
      <c r="O13" s="66"/>
      <c r="Q13" s="27"/>
      <c r="R13" s="6"/>
    </row>
    <row r="14" spans="2:18" ht="25.5" customHeight="1">
      <c r="B14" s="14"/>
      <c r="C14" s="9" t="s">
        <v>39</v>
      </c>
      <c r="D14" s="88">
        <v>0.1</v>
      </c>
      <c r="E14" s="28"/>
      <c r="F14" s="43"/>
      <c r="G14" s="62" t="s">
        <v>40</v>
      </c>
      <c r="H14" s="65">
        <f>(((((H6*H5)+H8)+H9)+H10)+H11)+H12</f>
        <v>65750</v>
      </c>
      <c r="I14" s="66"/>
      <c r="J14" s="70"/>
      <c r="K14" s="70"/>
      <c r="L14" s="34"/>
      <c r="M14" s="112" t="s">
        <v>41</v>
      </c>
      <c r="N14" s="113"/>
      <c r="O14" s="66"/>
      <c r="Q14" s="6"/>
      <c r="R14" s="6"/>
    </row>
    <row r="15" spans="2:18" ht="12.75">
      <c r="B15" s="54"/>
      <c r="C15" s="114" t="s">
        <v>42</v>
      </c>
      <c r="D15" s="114"/>
      <c r="E15" s="114"/>
      <c r="G15" s="29"/>
      <c r="H15" s="29"/>
      <c r="I15" s="39"/>
      <c r="J15" s="39"/>
      <c r="K15" s="39"/>
      <c r="L15" s="39"/>
      <c r="M15" s="70"/>
      <c r="N15" s="70"/>
      <c r="O15" s="39"/>
      <c r="Q15" s="27"/>
      <c r="R15" s="6"/>
    </row>
    <row r="16" spans="2:18" ht="12.75">
      <c r="B16" s="54"/>
      <c r="C16" s="114"/>
      <c r="D16" s="114"/>
      <c r="E16" s="114"/>
      <c r="F16" s="43"/>
      <c r="G16" s="115" t="s">
        <v>43</v>
      </c>
      <c r="H16" s="116"/>
      <c r="I16" s="66"/>
      <c r="J16" s="39"/>
      <c r="K16" s="39"/>
      <c r="L16" s="39"/>
      <c r="M16" s="39"/>
      <c r="N16" s="39"/>
      <c r="O16" s="39"/>
      <c r="Q16" s="27"/>
      <c r="R16" s="6"/>
    </row>
    <row r="17" spans="2:18" ht="25.5" customHeight="1">
      <c r="B17" s="54"/>
      <c r="C17" s="18"/>
      <c r="D17" s="18"/>
      <c r="E17" s="18"/>
      <c r="F17" s="43"/>
      <c r="G17" s="31" t="s">
        <v>44</v>
      </c>
      <c r="H17" s="92">
        <v>0.06</v>
      </c>
      <c r="I17" s="66"/>
      <c r="J17" s="39"/>
      <c r="K17" s="39"/>
      <c r="L17" s="39"/>
      <c r="M17" s="39"/>
      <c r="N17" s="39"/>
      <c r="O17" s="39"/>
      <c r="Q17" s="27"/>
      <c r="R17" s="6"/>
    </row>
    <row r="18" spans="2:18" ht="15.75">
      <c r="B18" s="54"/>
      <c r="C18" s="54"/>
      <c r="D18" s="54"/>
      <c r="E18" s="54"/>
      <c r="F18" s="43"/>
      <c r="G18" s="62" t="s">
        <v>45</v>
      </c>
      <c r="H18" s="93" t="s">
        <v>46</v>
      </c>
      <c r="I18" s="66"/>
      <c r="J18" s="39"/>
      <c r="K18" s="39"/>
      <c r="L18" s="39"/>
      <c r="M18" s="39"/>
      <c r="N18" s="39"/>
      <c r="O18" s="39"/>
      <c r="Q18" s="117"/>
      <c r="R18" s="118"/>
    </row>
    <row r="19" spans="2:19" ht="63.75" customHeight="1">
      <c r="B19" s="54"/>
      <c r="C19" s="54"/>
      <c r="D19" s="54"/>
      <c r="E19" s="54"/>
      <c r="G19" s="70"/>
      <c r="H19" s="70"/>
      <c r="I19" s="39"/>
      <c r="J19" s="39"/>
      <c r="K19" s="39"/>
      <c r="L19" s="39"/>
      <c r="M19" s="39"/>
      <c r="N19" s="39"/>
      <c r="O19" s="39"/>
      <c r="Q19" s="6" t="s">
        <v>47</v>
      </c>
      <c r="R19" s="6" t="s">
        <v>48</v>
      </c>
      <c r="S19" s="8"/>
    </row>
    <row r="20" spans="2:19" ht="38.25" customHeight="1">
      <c r="B20" s="11" t="s">
        <v>49</v>
      </c>
      <c r="C20" s="11" t="s">
        <v>50</v>
      </c>
      <c r="D20" s="11" t="s">
        <v>51</v>
      </c>
      <c r="E20" s="79" t="s">
        <v>52</v>
      </c>
      <c r="G20" s="15" t="s">
        <v>53</v>
      </c>
      <c r="H20" s="15" t="s">
        <v>54</v>
      </c>
      <c r="I20" s="15" t="s">
        <v>55</v>
      </c>
      <c r="J20" s="15" t="s">
        <v>56</v>
      </c>
      <c r="K20" s="15" t="s">
        <v>57</v>
      </c>
      <c r="L20" s="15" t="s">
        <v>58</v>
      </c>
      <c r="M20" s="15" t="s">
        <v>59</v>
      </c>
      <c r="N20" s="38" t="s">
        <v>60</v>
      </c>
      <c r="O20" s="39"/>
      <c r="P20" s="58" t="s">
        <v>61</v>
      </c>
      <c r="Q20" s="27" t="s">
        <v>62</v>
      </c>
      <c r="R20" s="27" t="s">
        <v>62</v>
      </c>
      <c r="S20" s="67"/>
    </row>
    <row r="21" spans="2:19" ht="25.5">
      <c r="B21" s="54">
        <v>2014</v>
      </c>
      <c r="C21" s="108">
        <f>($D$5*12)*(1+$E$10)</f>
        <v>25452</v>
      </c>
      <c r="D21" s="3">
        <f aca="true" t="shared" si="0" ref="D21:D51">K21-C21</f>
        <v>13842.930495904271</v>
      </c>
      <c r="E21" s="3">
        <f>H14</f>
        <v>65750</v>
      </c>
      <c r="G21" s="50">
        <f>$K$11*12</f>
        <v>28130.043557999656</v>
      </c>
      <c r="H21" s="47">
        <f aca="true" t="shared" si="1" ref="H21:J25">$M21*L$6</f>
        <v>5610</v>
      </c>
      <c r="I21" s="47">
        <f t="shared" si="1"/>
        <v>4402.28693790462</v>
      </c>
      <c r="J21" s="47">
        <f t="shared" si="1"/>
        <v>1152.6</v>
      </c>
      <c r="K21" s="50">
        <f aca="true" t="shared" si="2" ref="K21:K51">((G21+H21)+I21)+J21</f>
        <v>39294.93049590427</v>
      </c>
      <c r="L21" s="50">
        <f>'Monthly  Mortgage Calculation'!H2</f>
        <v>470016.00000000006</v>
      </c>
      <c r="M21" s="39">
        <f>H5</f>
        <v>510000</v>
      </c>
      <c r="N21" s="50">
        <f aca="true" t="shared" si="3" ref="N21:N51">M21-L21</f>
        <v>39983.99999999994</v>
      </c>
      <c r="O21" s="39"/>
      <c r="P21" s="46" t="s">
        <v>63</v>
      </c>
      <c r="Q21" s="104">
        <f aca="true" t="shared" si="4" ref="Q21:Q51">E21-N21</f>
        <v>25766.00000000006</v>
      </c>
      <c r="R21" s="81">
        <f>(E21)-((M21-($H$17*M21))-L21)</f>
        <v>56366.00000000006</v>
      </c>
      <c r="S21" s="44"/>
    </row>
    <row r="22" spans="2:19" ht="12.75">
      <c r="B22" s="54">
        <f aca="true" t="shared" si="5" ref="B22:B51">B21+1</f>
        <v>2015</v>
      </c>
      <c r="C22" s="3">
        <f>C21*(1+C$10)</f>
        <v>25961.04</v>
      </c>
      <c r="D22" s="3">
        <f t="shared" si="0"/>
        <v>13557.188234662368</v>
      </c>
      <c r="E22" s="3">
        <f>((E21)*(1+$D$10))+((1+($D$10/2))*D21)</f>
        <v>84679.93306326092</v>
      </c>
      <c r="G22" s="50">
        <f>$K$11*12</f>
        <v>28130.043557999656</v>
      </c>
      <c r="H22" s="47">
        <f t="shared" si="1"/>
        <v>5722.2</v>
      </c>
      <c r="I22" s="47">
        <f t="shared" si="1"/>
        <v>4490.332676662712</v>
      </c>
      <c r="J22" s="47">
        <f t="shared" si="1"/>
        <v>1175.6519999999998</v>
      </c>
      <c r="K22" s="50">
        <f t="shared" si="2"/>
        <v>39518.22823466237</v>
      </c>
      <c r="L22" s="50">
        <f>'Monthly  Mortgage Calculation'!E13</f>
        <v>457981.58187786705</v>
      </c>
      <c r="M22" s="50">
        <f>M21*(1+O$6)</f>
        <v>520200</v>
      </c>
      <c r="N22" s="50">
        <f t="shared" si="3"/>
        <v>62218.41812213295</v>
      </c>
      <c r="O22" s="39"/>
      <c r="P22" s="46" t="s">
        <v>64</v>
      </c>
      <c r="Q22" s="104">
        <f t="shared" si="4"/>
        <v>22461.51494112797</v>
      </c>
      <c r="R22" s="81">
        <f>((-((E22-E$21)-SUM(D$21:D21))*($D$14))+E22)-((M22-($H$17*M22))-L22)</f>
        <v>53164.8146843923</v>
      </c>
      <c r="S22" s="44"/>
    </row>
    <row r="23" spans="2:19" ht="12.75">
      <c r="B23" s="54">
        <f t="shared" si="5"/>
        <v>2016</v>
      </c>
      <c r="C23" s="3">
        <f>C22*(1+C$10)</f>
        <v>26480.2608</v>
      </c>
      <c r="D23" s="3">
        <f t="shared" si="0"/>
        <v>13265.731128195624</v>
      </c>
      <c r="E23" s="3">
        <f>((E22)*(1+$D$10))+((1+($D$10/2))*D22)</f>
        <v>104639.21820056473</v>
      </c>
      <c r="G23" s="50">
        <f>$K$11*12</f>
        <v>28130.043557999656</v>
      </c>
      <c r="H23" s="47">
        <f t="shared" si="1"/>
        <v>5836.643999999999</v>
      </c>
      <c r="I23" s="47">
        <f t="shared" si="1"/>
        <v>4580.139330195967</v>
      </c>
      <c r="J23" s="47">
        <f t="shared" si="1"/>
        <v>1199.1650399999999</v>
      </c>
      <c r="K23" s="50">
        <f t="shared" si="2"/>
        <v>39745.991928195624</v>
      </c>
      <c r="L23" s="50">
        <f>'Monthly  Mortgage Calculation'!E25</f>
        <v>445523.4980528675</v>
      </c>
      <c r="M23" s="50">
        <f>M22*(1+O$6)</f>
        <v>530604</v>
      </c>
      <c r="N23" s="50">
        <f t="shared" si="3"/>
        <v>85080.50194713252</v>
      </c>
      <c r="O23" s="39"/>
      <c r="P23" s="46" t="s">
        <v>65</v>
      </c>
      <c r="Q23" s="104">
        <f t="shared" si="4"/>
        <v>19558.716253432212</v>
      </c>
      <c r="R23" s="81">
        <f>((-((E23-E$21)-SUM(D$21:D22))*($D$14))+E23)-((M23-($H$17*M23))-L23)</f>
        <v>50246.0463064324</v>
      </c>
      <c r="S23" s="44"/>
    </row>
    <row r="24" spans="2:19" ht="12.75">
      <c r="B24" s="54">
        <f t="shared" si="5"/>
        <v>2017</v>
      </c>
      <c r="C24" s="3">
        <f>C23*(1+C$10)</f>
        <v>27009.866016</v>
      </c>
      <c r="D24" s="3">
        <f t="shared" si="0"/>
        <v>12968.444879599534</v>
      </c>
      <c r="E24" s="3">
        <f>((E23)*(1+$D$10))+((1+($D$10/2))*D23)</f>
        <v>125693.99519228675</v>
      </c>
      <c r="G24" s="50">
        <f>$K$11*12</f>
        <v>28130.043557999656</v>
      </c>
      <c r="H24" s="47">
        <f t="shared" si="1"/>
        <v>5953.376879999999</v>
      </c>
      <c r="I24" s="47">
        <f t="shared" si="1"/>
        <v>4671.7421167998855</v>
      </c>
      <c r="J24" s="47">
        <f t="shared" si="1"/>
        <v>1223.1483408</v>
      </c>
      <c r="K24" s="50">
        <f t="shared" si="2"/>
        <v>39978.310895599534</v>
      </c>
      <c r="L24" s="50">
        <f>'Monthly  Mortgage Calculation'!E37</f>
        <v>432626.83358470554</v>
      </c>
      <c r="M24" s="50">
        <f>M23*(1+O$6)</f>
        <v>541216.08</v>
      </c>
      <c r="N24" s="50">
        <f t="shared" si="3"/>
        <v>108589.24641529442</v>
      </c>
      <c r="O24" s="39"/>
      <c r="P24" s="46" t="s">
        <v>66</v>
      </c>
      <c r="Q24" s="104">
        <f t="shared" si="4"/>
        <v>17104.748776992332</v>
      </c>
      <c r="R24" s="81">
        <f>((-((E24-E$21)-SUM(D$21:D23))*($D$14))+E24)-((M24-($H$17*M24))-L24)</f>
        <v>47649.8990436399</v>
      </c>
      <c r="S24" s="44"/>
    </row>
    <row r="25" spans="2:19" ht="12.75">
      <c r="B25" s="54">
        <f t="shared" si="5"/>
        <v>2018</v>
      </c>
      <c r="C25" s="3">
        <f>C24*(1+C$10)</f>
        <v>27550.06333632</v>
      </c>
      <c r="D25" s="3">
        <f t="shared" si="0"/>
        <v>12665.212906031538</v>
      </c>
      <c r="E25" s="3">
        <f>((E24)*(1+$D$10))+((1+($D$10/2))*D24)</f>
        <v>147914.91530613234</v>
      </c>
      <c r="G25" s="50">
        <f>$K$11*12</f>
        <v>28130.043557999656</v>
      </c>
      <c r="H25" s="47">
        <f t="shared" si="1"/>
        <v>6072.4444176</v>
      </c>
      <c r="I25" s="47">
        <f t="shared" si="1"/>
        <v>4765.176959135883</v>
      </c>
      <c r="J25" s="47">
        <f t="shared" si="1"/>
        <v>1247.611307616</v>
      </c>
      <c r="K25" s="50">
        <f t="shared" si="2"/>
        <v>40215.27624235154</v>
      </c>
      <c r="L25" s="50">
        <f>'Monthly  Mortgage Calculation'!E49</f>
        <v>419276.1484600325</v>
      </c>
      <c r="M25" s="50">
        <f>M24*(1+O$6)</f>
        <v>552040.4016</v>
      </c>
      <c r="N25" s="50">
        <f t="shared" si="3"/>
        <v>132764.2531399675</v>
      </c>
      <c r="O25" s="39"/>
      <c r="P25" s="46" t="s">
        <v>67</v>
      </c>
      <c r="Q25" s="104">
        <f t="shared" si="4"/>
        <v>15150.662166164839</v>
      </c>
      <c r="R25" s="81">
        <f>((-((E25-E$21)-SUM(D$21:D24))*($D$14))+E25)-((M25-($H$17*M25))-L25)</f>
        <v>45420.024205387745</v>
      </c>
      <c r="S25" s="44"/>
    </row>
    <row r="26" spans="2:19" ht="12.75">
      <c r="B26" s="54">
        <f t="shared" si="5"/>
        <v>2019</v>
      </c>
      <c r="C26" s="3">
        <f>(((C25*(1+C$10)))*(1+E11))/(1+E10)</f>
        <v>28101.0646030464</v>
      </c>
      <c r="D26" s="3">
        <f t="shared" si="0"/>
        <v>15472.424203998682</v>
      </c>
      <c r="E26" s="3">
        <f>((E25)*(1+$D$11))+((1+($D$11/2))*D25)</f>
        <v>171377.45473530426</v>
      </c>
      <c r="G26" s="50">
        <f>$K$12*12</f>
        <v>30672.14541777708</v>
      </c>
      <c r="H26" s="47">
        <f aca="true" t="shared" si="6" ref="H26:J30">$M26*L$7</f>
        <v>6193.8933059519995</v>
      </c>
      <c r="I26" s="47">
        <f t="shared" si="6"/>
        <v>5356.0551801992015</v>
      </c>
      <c r="J26" s="47">
        <f t="shared" si="6"/>
        <v>1351.3949031167997</v>
      </c>
      <c r="K26" s="50">
        <f t="shared" si="2"/>
        <v>43573.48880704508</v>
      </c>
      <c r="L26" s="50">
        <f>'Monthly  Mortgage Calculation'!E61</f>
        <v>405455.4591075112</v>
      </c>
      <c r="M26" s="50">
        <f>M25*(1+O$6)</f>
        <v>563081.209632</v>
      </c>
      <c r="N26" s="50">
        <f t="shared" si="3"/>
        <v>157625.75052448874</v>
      </c>
      <c r="O26" s="39"/>
      <c r="P26" s="46" t="s">
        <v>68</v>
      </c>
      <c r="Q26" s="104">
        <f t="shared" si="4"/>
        <v>13751.704210815515</v>
      </c>
      <c r="R26" s="81">
        <f>((-((E26-E$21)-SUM(D$21:D25))*($D$14))+E26)-((M26-($H$17*M26))-L26)</f>
        <v>43603.782079644385</v>
      </c>
      <c r="S26" s="44"/>
    </row>
    <row r="27" spans="2:19" ht="12.75">
      <c r="B27" s="54">
        <f t="shared" si="5"/>
        <v>2020</v>
      </c>
      <c r="C27" s="3">
        <f>C26*(1+C$11)</f>
        <v>28663.08589510733</v>
      </c>
      <c r="D27" s="3">
        <f t="shared" si="0"/>
        <v>15168.429779723105</v>
      </c>
      <c r="E27" s="3">
        <f>((E26)*(1+$D$11))+((1+($D$11/2))*D26)</f>
        <v>199387.8356179142</v>
      </c>
      <c r="G27" s="50">
        <f>$K$12*12</f>
        <v>30672.14541777708</v>
      </c>
      <c r="H27" s="47">
        <f t="shared" si="6"/>
        <v>6317.771172071039</v>
      </c>
      <c r="I27" s="47">
        <f t="shared" si="6"/>
        <v>5463.1762838031855</v>
      </c>
      <c r="J27" s="47">
        <f t="shared" si="6"/>
        <v>1378.4228011791356</v>
      </c>
      <c r="K27" s="50">
        <f t="shared" si="2"/>
        <v>43831.515674830436</v>
      </c>
      <c r="L27" s="50">
        <f>'Monthly  Mortgage Calculation'!E73</f>
        <v>392599.4813021144</v>
      </c>
      <c r="M27" s="50">
        <f>M26*(1+O$7)</f>
        <v>574342.8338246399</v>
      </c>
      <c r="N27" s="50">
        <f t="shared" si="3"/>
        <v>181743.35252252553</v>
      </c>
      <c r="O27" s="39"/>
      <c r="P27" s="46" t="s">
        <v>69</v>
      </c>
      <c r="Q27" s="104">
        <f t="shared" si="4"/>
        <v>17644.483095388685</v>
      </c>
      <c r="R27" s="81">
        <f>((-((E27-E$21)-SUM(D$21:D26))*($D$14))+E27)-((M27-($H$17*M27))-L27)</f>
        <v>46918.46274791486</v>
      </c>
      <c r="S27" s="44"/>
    </row>
    <row r="28" spans="2:19" ht="12.75">
      <c r="B28" s="54">
        <f t="shared" si="5"/>
        <v>2021</v>
      </c>
      <c r="C28" s="3">
        <f>C27*(1+C$11)</f>
        <v>29236.34761300948</v>
      </c>
      <c r="D28" s="3">
        <f t="shared" si="0"/>
        <v>14858.355466962028</v>
      </c>
      <c r="E28" s="3">
        <f>((E27)*(1+$D$11))+((1+($D$11/2))*D27)</f>
        <v>229044.30893318163</v>
      </c>
      <c r="G28" s="50">
        <f>$K$12*12</f>
        <v>30672.14541777708</v>
      </c>
      <c r="H28" s="47">
        <f t="shared" si="6"/>
        <v>6444.12659551246</v>
      </c>
      <c r="I28" s="47">
        <f t="shared" si="6"/>
        <v>5572.43980947925</v>
      </c>
      <c r="J28" s="47">
        <f t="shared" si="6"/>
        <v>1405.9912572027185</v>
      </c>
      <c r="K28" s="50">
        <f t="shared" si="2"/>
        <v>44094.70307997151</v>
      </c>
      <c r="L28" s="50">
        <f>'Monthly  Mortgage Calculation'!E85</f>
        <v>379158.47615671065</v>
      </c>
      <c r="M28" s="50">
        <f>M27*(1+O$7)</f>
        <v>585829.6905011327</v>
      </c>
      <c r="N28" s="50">
        <f t="shared" si="3"/>
        <v>206671.2143444221</v>
      </c>
      <c r="O28" s="39"/>
      <c r="P28" s="46" t="s">
        <v>70</v>
      </c>
      <c r="Q28" s="104">
        <f t="shared" si="4"/>
        <v>22373.09458875953</v>
      </c>
      <c r="R28" s="81">
        <f>((-((E28-E$21)-SUM(D$21:D27))*($D$14))+E28)-((M28-($H$17*M28))-L28)</f>
        <v>50887.48128832085</v>
      </c>
      <c r="S28" s="44"/>
    </row>
    <row r="29" spans="2:19" ht="12.75">
      <c r="B29" s="54">
        <f t="shared" si="5"/>
        <v>2022</v>
      </c>
      <c r="C29" s="3">
        <f>C28*(1+C$11)</f>
        <v>29821.074565269668</v>
      </c>
      <c r="D29" s="3">
        <f t="shared" si="0"/>
        <v>14542.07966794573</v>
      </c>
      <c r="E29" s="3">
        <f>((E28)*(1+$D$11))+((1+($D$11/2))*D28)</f>
        <v>260455.80846681006</v>
      </c>
      <c r="G29" s="50">
        <f>$K$12*12</f>
        <v>30672.14541777708</v>
      </c>
      <c r="H29" s="47">
        <f t="shared" si="6"/>
        <v>6573.00912742271</v>
      </c>
      <c r="I29" s="47">
        <f t="shared" si="6"/>
        <v>5683.888605668835</v>
      </c>
      <c r="J29" s="47">
        <f t="shared" si="6"/>
        <v>1434.111082346773</v>
      </c>
      <c r="K29" s="50">
        <f t="shared" si="2"/>
        <v>44363.1542332154</v>
      </c>
      <c r="L29" s="50">
        <f>'Monthly  Mortgage Calculation'!E97</f>
        <v>365105.8212709089</v>
      </c>
      <c r="M29" s="50">
        <f>M28*(1+O$7)</f>
        <v>597546.2843111554</v>
      </c>
      <c r="N29" s="50">
        <f t="shared" si="3"/>
        <v>232440.4630402465</v>
      </c>
      <c r="O29" s="39"/>
      <c r="P29" s="46" t="s">
        <v>71</v>
      </c>
      <c r="Q29" s="104">
        <f t="shared" si="4"/>
        <v>28015.345426563552</v>
      </c>
      <c r="R29" s="81">
        <f>((-((E29-E$21)-SUM(D$21:D28))*($D$14))+E29)-((M29-($H$17*M29))-L29)</f>
        <v>55577.413348059636</v>
      </c>
      <c r="S29" s="44"/>
    </row>
    <row r="30" spans="2:19" ht="12.75">
      <c r="B30" s="54">
        <f t="shared" si="5"/>
        <v>2023</v>
      </c>
      <c r="C30" s="3">
        <f>C29*(1+C$11)</f>
        <v>30417.496056575063</v>
      </c>
      <c r="D30" s="3">
        <f t="shared" si="0"/>
        <v>14219.4783529491</v>
      </c>
      <c r="E30" s="3">
        <f>((E29)*(1+$D$11))+((1+($D$11/2))*D29)</f>
        <v>293738.7675158106</v>
      </c>
      <c r="G30" s="50">
        <f>$K$12*12</f>
        <v>30672.14541777708</v>
      </c>
      <c r="H30" s="47">
        <f t="shared" si="6"/>
        <v>6704.469309971163</v>
      </c>
      <c r="I30" s="47">
        <f t="shared" si="6"/>
        <v>5797.566377782211</v>
      </c>
      <c r="J30" s="47">
        <f t="shared" si="6"/>
        <v>1462.7933039937084</v>
      </c>
      <c r="K30" s="50">
        <f t="shared" si="2"/>
        <v>44636.97440952416</v>
      </c>
      <c r="L30" s="50">
        <f>'Monthly  Mortgage Calculation'!E109</f>
        <v>350413.6827587102</v>
      </c>
      <c r="M30" s="50">
        <f>M29*(1+O$7)</f>
        <v>609497.2099973785</v>
      </c>
      <c r="N30" s="50">
        <f t="shared" si="3"/>
        <v>259083.52723866835</v>
      </c>
      <c r="O30" s="39"/>
      <c r="P30" s="46" t="s">
        <v>72</v>
      </c>
      <c r="Q30" s="104">
        <f t="shared" si="4"/>
        <v>34655.240277142264</v>
      </c>
      <c r="R30" s="81">
        <f>((-((E30-E$21)-SUM(D$21:D29))*($D$14))+E30)-((M30-($H$17*M30))-L30)</f>
        <v>61060.275801706186</v>
      </c>
      <c r="S30" s="44"/>
    </row>
    <row r="31" spans="2:19" ht="12.75">
      <c r="B31" s="54">
        <f t="shared" si="5"/>
        <v>2024</v>
      </c>
      <c r="C31" s="3">
        <f>C30*(1+C$11)</f>
        <v>31025.845977706565</v>
      </c>
      <c r="D31" s="3">
        <f t="shared" si="0"/>
        <v>17669.344045997415</v>
      </c>
      <c r="E31" s="3">
        <f aca="true" t="shared" si="7" ref="E31:E51">((E30)*(1+$D$12))+((1+($D$12/2))*D30)</f>
        <v>329017.6413372197</v>
      </c>
      <c r="G31" s="50">
        <f aca="true" t="shared" si="8" ref="G31:G51">IF((((B31-$B$21)+1)&gt;$H$7),0,($K$13*12))</f>
        <v>32719.854866212467</v>
      </c>
      <c r="H31" s="47">
        <f aca="true" t="shared" si="9" ref="H31:H51">$M31*L$8</f>
        <v>6838.558696170586</v>
      </c>
      <c r="I31" s="47">
        <f aca="true" t="shared" si="10" ref="I31:I51">$M31*M$8</f>
        <v>7582.55857582761</v>
      </c>
      <c r="J31" s="47">
        <f aca="true" t="shared" si="11" ref="J31:J51">$M31*N$8</f>
        <v>1554.2178854933152</v>
      </c>
      <c r="K31" s="50">
        <f t="shared" si="2"/>
        <v>48695.19002370398</v>
      </c>
      <c r="L31" s="50">
        <f>'Monthly  Mortgage Calculation'!E121</f>
        <v>335052.96011834085</v>
      </c>
      <c r="M31" s="50">
        <f>M30*(1+O$7)</f>
        <v>621687.154197326</v>
      </c>
      <c r="N31" s="50">
        <f t="shared" si="3"/>
        <v>286634.1940789852</v>
      </c>
      <c r="O31" s="39"/>
      <c r="P31" s="46" t="s">
        <v>73</v>
      </c>
      <c r="Q31" s="104">
        <f t="shared" si="4"/>
        <v>42383.44725823449</v>
      </c>
      <c r="R31" s="81">
        <f>((-((E31-E$21)-SUM(D$21:D30))*($D$14))+E31)-((M31-($H$17*M31))-L31)</f>
        <v>67413.93988794927</v>
      </c>
      <c r="S31" s="44"/>
    </row>
    <row r="32" spans="2:19" ht="12.75">
      <c r="B32" s="54">
        <f t="shared" si="5"/>
        <v>2025</v>
      </c>
      <c r="C32" s="3">
        <f>((C31*(1+C$12)))</f>
        <v>31646.362897260697</v>
      </c>
      <c r="D32" s="3">
        <f t="shared" si="0"/>
        <v>17368.33382959311</v>
      </c>
      <c r="E32" s="3">
        <f t="shared" si="7"/>
        <v>370336.6473184324</v>
      </c>
      <c r="G32" s="50">
        <f t="shared" si="8"/>
        <v>32719.854866212467</v>
      </c>
      <c r="H32" s="47">
        <f t="shared" si="9"/>
        <v>6975.329870093998</v>
      </c>
      <c r="I32" s="47">
        <f t="shared" si="10"/>
        <v>7734.209747344163</v>
      </c>
      <c r="J32" s="47">
        <f t="shared" si="11"/>
        <v>1585.3022432031814</v>
      </c>
      <c r="K32" s="50">
        <f t="shared" si="2"/>
        <v>49014.69672685381</v>
      </c>
      <c r="L32" s="50">
        <f>'Monthly  Mortgage Calculation'!E133</f>
        <v>320186.4386218559</v>
      </c>
      <c r="M32" s="50">
        <f aca="true" t="shared" si="12" ref="M32:M51">M31*(1+O$8)</f>
        <v>634120.8972812726</v>
      </c>
      <c r="N32" s="50">
        <f t="shared" si="3"/>
        <v>313934.45865941665</v>
      </c>
      <c r="O32" s="39"/>
      <c r="P32" s="46" t="s">
        <v>74</v>
      </c>
      <c r="Q32" s="104">
        <f t="shared" si="4"/>
        <v>56402.18865901575</v>
      </c>
      <c r="R32" s="81">
        <f>((-((E32-E$21)-SUM(D$21:D31))*($D$14))+E32)-((M32-($H$17*M32))-L32)</f>
        <v>79813.73968024581</v>
      </c>
      <c r="S32" s="44"/>
    </row>
    <row r="33" spans="2:19" ht="12.75">
      <c r="B33" s="54">
        <f t="shared" si="5"/>
        <v>2026</v>
      </c>
      <c r="C33" s="3">
        <f aca="true" t="shared" si="13" ref="C33:C51">C32*(1+C$12)</f>
        <v>32279.290155205912</v>
      </c>
      <c r="D33" s="3">
        <f t="shared" si="0"/>
        <v>17061.30340886073</v>
      </c>
      <c r="E33" s="3">
        <f t="shared" si="7"/>
        <v>414236.43814435153</v>
      </c>
      <c r="G33" s="50">
        <f t="shared" si="8"/>
        <v>32719.854866212467</v>
      </c>
      <c r="H33" s="47">
        <f t="shared" si="9"/>
        <v>7114.836467495878</v>
      </c>
      <c r="I33" s="47">
        <f t="shared" si="10"/>
        <v>7888.893942291046</v>
      </c>
      <c r="J33" s="47">
        <f t="shared" si="11"/>
        <v>1617.0082880672453</v>
      </c>
      <c r="K33" s="50">
        <f t="shared" si="2"/>
        <v>49340.59356406664</v>
      </c>
      <c r="L33" s="50">
        <f>'Monthly  Mortgage Calculation'!E145</f>
        <v>304491.0156361827</v>
      </c>
      <c r="M33" s="50">
        <f t="shared" si="12"/>
        <v>646803.3152268981</v>
      </c>
      <c r="N33" s="50">
        <f t="shared" si="3"/>
        <v>342312.2995907154</v>
      </c>
      <c r="O33" s="39"/>
      <c r="P33" s="46" t="s">
        <v>75</v>
      </c>
      <c r="Q33" s="104">
        <f t="shared" si="4"/>
        <v>71924.13855363615</v>
      </c>
      <c r="R33" s="81">
        <f>((-((E33-E$21)-SUM(D$21:D32))*($D$14))+E33)-((M33-($H$17*M33))-L33)</f>
        <v>93443.48895197117</v>
      </c>
      <c r="S33" s="44"/>
    </row>
    <row r="34" spans="2:19" ht="12.75">
      <c r="B34" s="54">
        <f t="shared" si="5"/>
        <v>2027</v>
      </c>
      <c r="C34" s="3">
        <f t="shared" si="13"/>
        <v>32924.87595831003</v>
      </c>
      <c r="D34" s="3">
        <f t="shared" si="0"/>
        <v>16748.132379713687</v>
      </c>
      <c r="E34" s="3">
        <f t="shared" si="7"/>
        <v>460891.437842627</v>
      </c>
      <c r="G34" s="50">
        <f t="shared" si="8"/>
        <v>32719.854866212467</v>
      </c>
      <c r="H34" s="47">
        <f t="shared" si="9"/>
        <v>7257.133196845795</v>
      </c>
      <c r="I34" s="47">
        <f t="shared" si="10"/>
        <v>8046.671821136867</v>
      </c>
      <c r="J34" s="47">
        <f t="shared" si="11"/>
        <v>1649.34845382859</v>
      </c>
      <c r="K34" s="50">
        <f t="shared" si="2"/>
        <v>49673.00833802372</v>
      </c>
      <c r="L34" s="50">
        <f>'Monthly  Mortgage Calculation'!E157</f>
        <v>287920.47472266445</v>
      </c>
      <c r="M34" s="50">
        <f t="shared" si="12"/>
        <v>659739.381531436</v>
      </c>
      <c r="N34" s="50">
        <f t="shared" si="3"/>
        <v>371818.90680877154</v>
      </c>
      <c r="O34" s="39"/>
      <c r="P34" s="46" t="s">
        <v>76</v>
      </c>
      <c r="Q34" s="104">
        <f t="shared" si="4"/>
        <v>89072.53103385546</v>
      </c>
      <c r="R34" s="81">
        <f>((-((E34-E$21)-SUM(D$21:D33))*($D$14))+E34)-((M34-($H$17*M34))-L34)</f>
        <v>108408.67578152125</v>
      </c>
      <c r="S34" s="44"/>
    </row>
    <row r="35" spans="2:19" ht="12.75">
      <c r="B35" s="54">
        <f t="shared" si="5"/>
        <v>2028</v>
      </c>
      <c r="C35" s="3">
        <f t="shared" si="13"/>
        <v>33583.373477476234</v>
      </c>
      <c r="D35" s="3">
        <f t="shared" si="0"/>
        <v>16428.69792998371</v>
      </c>
      <c r="E35" s="3">
        <f t="shared" si="7"/>
        <v>510488.1555046146</v>
      </c>
      <c r="G35" s="50">
        <f t="shared" si="8"/>
        <v>32719.854866212467</v>
      </c>
      <c r="H35" s="47">
        <f t="shared" si="9"/>
        <v>7402.275860782711</v>
      </c>
      <c r="I35" s="47">
        <f t="shared" si="10"/>
        <v>8207.605257559604</v>
      </c>
      <c r="J35" s="47">
        <f t="shared" si="11"/>
        <v>1682.3354229051617</v>
      </c>
      <c r="K35" s="50">
        <f t="shared" si="2"/>
        <v>50012.071407459945</v>
      </c>
      <c r="L35" s="50">
        <f>'Monthly  Mortgage Calculation'!E169</f>
        <v>270426.02258733683</v>
      </c>
      <c r="M35" s="50">
        <f t="shared" si="12"/>
        <v>672934.1691620647</v>
      </c>
      <c r="N35" s="50">
        <f t="shared" si="3"/>
        <v>402508.14657472784</v>
      </c>
      <c r="O35" s="39"/>
      <c r="P35" s="46" t="s">
        <v>77</v>
      </c>
      <c r="Q35" s="104">
        <f t="shared" si="4"/>
        <v>107980.00892988674</v>
      </c>
      <c r="R35" s="81">
        <f>((-((E35-E$21)-SUM(D$21:D34))*($D$14))+E35)-((M35-($H$17*M35))-L35)</f>
        <v>124822.98240716284</v>
      </c>
      <c r="S35" s="44"/>
    </row>
    <row r="36" spans="2:19" ht="12.75">
      <c r="B36" s="54">
        <f t="shared" si="5"/>
        <v>2029</v>
      </c>
      <c r="C36" s="3">
        <f t="shared" si="13"/>
        <v>34255.04094702576</v>
      </c>
      <c r="D36" s="3">
        <f t="shared" si="0"/>
        <v>16102.874791259128</v>
      </c>
      <c r="E36" s="3">
        <f t="shared" si="7"/>
        <v>563226.0287474708</v>
      </c>
      <c r="G36" s="50">
        <f t="shared" si="8"/>
        <v>32719.854866212467</v>
      </c>
      <c r="H36" s="47">
        <f t="shared" si="9"/>
        <v>7550.321377998365</v>
      </c>
      <c r="I36" s="47">
        <f t="shared" si="10"/>
        <v>8371.757362710796</v>
      </c>
      <c r="J36" s="47">
        <f t="shared" si="11"/>
        <v>1715.982131363265</v>
      </c>
      <c r="K36" s="50">
        <f t="shared" si="2"/>
        <v>50357.915738284886</v>
      </c>
      <c r="L36" s="50">
        <f>'Monthly  Mortgage Calculation'!E181</f>
        <v>251956.14540513873</v>
      </c>
      <c r="M36" s="50">
        <f t="shared" si="12"/>
        <v>686392.852545306</v>
      </c>
      <c r="N36" s="50">
        <f t="shared" si="3"/>
        <v>434436.70714016724</v>
      </c>
      <c r="O36" s="39"/>
      <c r="P36" s="46" t="s">
        <v>78</v>
      </c>
      <c r="Q36" s="104">
        <f t="shared" si="4"/>
        <v>128789.32160730357</v>
      </c>
      <c r="R36" s="81">
        <f>((-((E36-E$21)-SUM(D$21:D35))*($D$14))+E36)-((M36-($H$17*M36))-L36)</f>
        <v>142808.89855628693</v>
      </c>
      <c r="S36" s="44"/>
    </row>
    <row r="37" spans="2:19" ht="12.75">
      <c r="B37" s="54">
        <f t="shared" si="5"/>
        <v>2030</v>
      </c>
      <c r="C37" s="3">
        <f t="shared" si="13"/>
        <v>34940.14176596628</v>
      </c>
      <c r="D37" s="3">
        <f t="shared" si="0"/>
        <v>15770.53518976007</v>
      </c>
      <c r="E37" s="3">
        <f t="shared" si="7"/>
        <v>619318.3261687469</v>
      </c>
      <c r="G37" s="50">
        <f t="shared" si="8"/>
        <v>32719.854866212467</v>
      </c>
      <c r="H37" s="47">
        <f t="shared" si="9"/>
        <v>7701.327805558333</v>
      </c>
      <c r="I37" s="47">
        <f t="shared" si="10"/>
        <v>8539.192509965013</v>
      </c>
      <c r="J37" s="47">
        <f t="shared" si="11"/>
        <v>1750.3017739905304</v>
      </c>
      <c r="K37" s="50">
        <f t="shared" si="2"/>
        <v>50710.67695572635</v>
      </c>
      <c r="L37" s="50">
        <f>'Monthly  Mortgage Calculation'!E193</f>
        <v>232456.45713330075</v>
      </c>
      <c r="M37" s="50">
        <f t="shared" si="12"/>
        <v>700120.7095962121</v>
      </c>
      <c r="N37" s="50">
        <f t="shared" si="3"/>
        <v>467664.2524629114</v>
      </c>
      <c r="O37" s="39"/>
      <c r="P37" s="46" t="s">
        <v>79</v>
      </c>
      <c r="Q37" s="104">
        <f t="shared" si="4"/>
        <v>151654.0737058355</v>
      </c>
      <c r="R37" s="81">
        <f>((-((E37-E$21)-SUM(D$21:D36))*($D$14))+E37)-((M37-($H$17*M37))-L37)</f>
        <v>162498.37981487147</v>
      </c>
      <c r="S37" s="44"/>
    </row>
    <row r="38" spans="2:19" ht="12.75">
      <c r="B38" s="54">
        <f t="shared" si="5"/>
        <v>2031</v>
      </c>
      <c r="C38" s="3">
        <f t="shared" si="13"/>
        <v>35638.944601285606</v>
      </c>
      <c r="D38" s="3">
        <f t="shared" si="0"/>
        <v>15431.548796231014</v>
      </c>
      <c r="E38" s="3">
        <f t="shared" si="7"/>
        <v>678993.1129219609</v>
      </c>
      <c r="G38" s="50">
        <f t="shared" si="8"/>
        <v>32719.854866212467</v>
      </c>
      <c r="H38" s="47">
        <f t="shared" si="9"/>
        <v>7855.3543616695</v>
      </c>
      <c r="I38" s="47">
        <f t="shared" si="10"/>
        <v>8709.976360164314</v>
      </c>
      <c r="J38" s="47">
        <f t="shared" si="11"/>
        <v>1785.307809470341</v>
      </c>
      <c r="K38" s="50">
        <f t="shared" si="2"/>
        <v>51070.49339751662</v>
      </c>
      <c r="L38" s="50">
        <f>'Monthly  Mortgage Calculation'!E205</f>
        <v>211869.53936725602</v>
      </c>
      <c r="M38" s="50">
        <f t="shared" si="12"/>
        <v>714123.1237881364</v>
      </c>
      <c r="N38" s="50">
        <f t="shared" si="3"/>
        <v>502253.5844208804</v>
      </c>
      <c r="O38" s="39"/>
      <c r="P38" s="46" t="s">
        <v>80</v>
      </c>
      <c r="Q38" s="104">
        <f t="shared" si="4"/>
        <v>176739.52850108047</v>
      </c>
      <c r="R38" s="81">
        <f>((-((E38-E$21)-SUM(D$21:D37))*($D$14))+E38)-((M38-($H$17*M38))-L38)</f>
        <v>184033.5543052866</v>
      </c>
      <c r="S38" s="44"/>
    </row>
    <row r="39" spans="2:19" ht="12.75">
      <c r="B39" s="54">
        <f t="shared" si="5"/>
        <v>2032</v>
      </c>
      <c r="C39" s="3">
        <f t="shared" si="13"/>
        <v>36351.72349331132</v>
      </c>
      <c r="D39" s="3">
        <f t="shared" si="0"/>
        <v>15085.782674831382</v>
      </c>
      <c r="E39" s="3">
        <f t="shared" si="7"/>
        <v>742494.2838305973</v>
      </c>
      <c r="G39" s="50">
        <f t="shared" si="8"/>
        <v>32719.854866212467</v>
      </c>
      <c r="H39" s="47">
        <f t="shared" si="9"/>
        <v>8012.46144890289</v>
      </c>
      <c r="I39" s="47">
        <f t="shared" si="10"/>
        <v>8884.175887367599</v>
      </c>
      <c r="J39" s="47">
        <f t="shared" si="11"/>
        <v>1821.0139656597478</v>
      </c>
      <c r="K39" s="50">
        <f t="shared" si="2"/>
        <v>51437.5061681427</v>
      </c>
      <c r="L39" s="50">
        <f>'Monthly  Mortgage Calculation'!E217</f>
        <v>190134.77226751827</v>
      </c>
      <c r="M39" s="50">
        <f t="shared" si="12"/>
        <v>728405.5862638991</v>
      </c>
      <c r="N39" s="50">
        <f t="shared" si="3"/>
        <v>538270.8139963809</v>
      </c>
      <c r="O39" s="39"/>
      <c r="P39" s="46" t="s">
        <v>81</v>
      </c>
      <c r="Q39" s="104">
        <f t="shared" si="4"/>
        <v>204223.4698342164</v>
      </c>
      <c r="R39" s="81">
        <f>((-((E39-E$21)-SUM(D$21:D38))*($D$14))+E39)-((M39-($H$17*M39))-L39)</f>
        <v>207567.48117572773</v>
      </c>
      <c r="S39" s="44"/>
    </row>
    <row r="40" spans="2:19" ht="12.75">
      <c r="B40" s="54">
        <f t="shared" si="5"/>
        <v>2033</v>
      </c>
      <c r="C40" s="3">
        <f t="shared" si="13"/>
        <v>37078.75796317755</v>
      </c>
      <c r="D40" s="3">
        <f t="shared" si="0"/>
        <v>14733.101231003755</v>
      </c>
      <c r="E40" s="3">
        <f t="shared" si="7"/>
        <v>810082.6687671896</v>
      </c>
      <c r="G40" s="50">
        <f t="shared" si="8"/>
        <v>32719.854866212467</v>
      </c>
      <c r="H40" s="47">
        <f t="shared" si="9"/>
        <v>8172.7106778809475</v>
      </c>
      <c r="I40" s="47">
        <f t="shared" si="10"/>
        <v>9061.85940511495</v>
      </c>
      <c r="J40" s="47">
        <f t="shared" si="11"/>
        <v>1857.4342449729427</v>
      </c>
      <c r="K40" s="50">
        <f t="shared" si="2"/>
        <v>51811.85919418131</v>
      </c>
      <c r="L40" s="50">
        <f>'Monthly  Mortgage Calculation'!E229</f>
        <v>167188.15605967576</v>
      </c>
      <c r="M40" s="50">
        <f t="shared" si="12"/>
        <v>742973.6979891771</v>
      </c>
      <c r="N40" s="50">
        <f t="shared" si="3"/>
        <v>575785.5419295013</v>
      </c>
      <c r="O40" s="39"/>
      <c r="P40" s="46" t="s">
        <v>82</v>
      </c>
      <c r="Q40" s="104">
        <f t="shared" si="4"/>
        <v>234297.12683768827</v>
      </c>
      <c r="R40" s="81">
        <f>((-((E40-E$21)-SUM(D$21:D39))*($D$14))+E40)-((M40-($H$17*M40))-L40)</f>
        <v>233264.9646565402</v>
      </c>
      <c r="S40" s="44"/>
    </row>
    <row r="41" spans="2:19" ht="12.75">
      <c r="B41" s="54">
        <f t="shared" si="5"/>
        <v>2034</v>
      </c>
      <c r="C41" s="3">
        <f t="shared" si="13"/>
        <v>37820.3331224411</v>
      </c>
      <c r="D41" s="3">
        <f t="shared" si="0"/>
        <v>14373.366158299577</v>
      </c>
      <c r="E41" s="3">
        <f t="shared" si="7"/>
        <v>882037.2153549818</v>
      </c>
      <c r="G41" s="50">
        <f t="shared" si="8"/>
        <v>32719.854866212467</v>
      </c>
      <c r="H41" s="47">
        <f t="shared" si="9"/>
        <v>8336.164891438566</v>
      </c>
      <c r="I41" s="47">
        <f t="shared" si="10"/>
        <v>9243.09659321725</v>
      </c>
      <c r="J41" s="47">
        <f t="shared" si="11"/>
        <v>1894.5829298724016</v>
      </c>
      <c r="K41" s="50">
        <f t="shared" si="2"/>
        <v>52193.69928074068</v>
      </c>
      <c r="L41" s="50">
        <f>'Monthly  Mortgage Calculation'!E241</f>
        <v>142962.1225818947</v>
      </c>
      <c r="M41" s="50">
        <f t="shared" si="12"/>
        <v>757833.1719489606</v>
      </c>
      <c r="N41" s="50">
        <f t="shared" si="3"/>
        <v>614871.0493670659</v>
      </c>
      <c r="O41" s="39"/>
      <c r="P41" s="46" t="s">
        <v>83</v>
      </c>
      <c r="Q41" s="104">
        <f t="shared" si="4"/>
        <v>267166.16598791594</v>
      </c>
      <c r="R41" s="81">
        <f>((-((E41-E$21)-SUM(D$21:D40))*($D$14))+E41)-((M41-($H$17*M41))-L41)</f>
        <v>261303.42770867608</v>
      </c>
      <c r="S41" s="44"/>
    </row>
    <row r="42" spans="2:19" ht="12.75">
      <c r="B42" s="54">
        <f t="shared" si="5"/>
        <v>2035</v>
      </c>
      <c r="C42" s="3">
        <f t="shared" si="13"/>
        <v>38576.73978488993</v>
      </c>
      <c r="D42" s="3">
        <f t="shared" si="0"/>
        <v>14006.436384141321</v>
      </c>
      <c r="E42" s="3">
        <f t="shared" si="7"/>
        <v>958656.2544036707</v>
      </c>
      <c r="G42" s="50">
        <f t="shared" si="8"/>
        <v>32719.854866212467</v>
      </c>
      <c r="H42" s="47">
        <f t="shared" si="9"/>
        <v>8502.888189267338</v>
      </c>
      <c r="I42" s="47">
        <f t="shared" si="10"/>
        <v>9427.958525081594</v>
      </c>
      <c r="J42" s="47">
        <f t="shared" si="11"/>
        <v>1932.4745884698496</v>
      </c>
      <c r="K42" s="50">
        <f t="shared" si="2"/>
        <v>52583.17616903125</v>
      </c>
      <c r="L42" s="50">
        <f>'Monthly  Mortgage Calculation'!E253</f>
        <v>117385.33632501813</v>
      </c>
      <c r="M42" s="50">
        <f t="shared" si="12"/>
        <v>772989.8353879398</v>
      </c>
      <c r="N42" s="50">
        <f t="shared" si="3"/>
        <v>655604.4990629217</v>
      </c>
      <c r="O42" s="39"/>
      <c r="P42" s="46" t="s">
        <v>84</v>
      </c>
      <c r="Q42" s="104">
        <f t="shared" si="4"/>
        <v>303051.75534074893</v>
      </c>
      <c r="R42" s="81">
        <f>((-((E42-E$21)-SUM(D$21:D41))*($D$14))+E42)-((M42-($H$17*M42))-L42)</f>
        <v>291873.84957880876</v>
      </c>
      <c r="S42" s="44"/>
    </row>
    <row r="43" spans="2:19" ht="12.75">
      <c r="B43" s="54">
        <f t="shared" si="5"/>
        <v>2036</v>
      </c>
      <c r="C43" s="3">
        <f t="shared" si="13"/>
        <v>39348.27458058773</v>
      </c>
      <c r="D43" s="3">
        <f t="shared" si="0"/>
        <v>13632.168014499897</v>
      </c>
      <c r="E43" s="3">
        <f t="shared" si="7"/>
        <v>1040258.853869514</v>
      </c>
      <c r="G43" s="50">
        <f t="shared" si="8"/>
        <v>32719.854866212467</v>
      </c>
      <c r="H43" s="47">
        <f t="shared" si="9"/>
        <v>8672.945953052684</v>
      </c>
      <c r="I43" s="47">
        <f t="shared" si="10"/>
        <v>9616.517695583227</v>
      </c>
      <c r="J43" s="47">
        <f t="shared" si="11"/>
        <v>1971.1240802392465</v>
      </c>
      <c r="K43" s="50">
        <f t="shared" si="2"/>
        <v>52980.442595087625</v>
      </c>
      <c r="L43" s="50">
        <f>'Monthly  Mortgage Calculation'!E265</f>
        <v>90382.48437940652</v>
      </c>
      <c r="M43" s="50">
        <f t="shared" si="12"/>
        <v>788449.6320956986</v>
      </c>
      <c r="N43" s="50">
        <f t="shared" si="3"/>
        <v>698067.1477162921</v>
      </c>
      <c r="O43" s="39"/>
      <c r="P43" s="46" t="s">
        <v>85</v>
      </c>
      <c r="Q43" s="104">
        <f t="shared" si="4"/>
        <v>342191.7061532219</v>
      </c>
      <c r="R43" s="81">
        <f>((-((E43-E$21)-SUM(D$21:D42))*($D$14))+E43)-((M43-($H$17*M43))-L43)</f>
        <v>325181.7718855771</v>
      </c>
      <c r="S43" s="44"/>
    </row>
    <row r="44" spans="2:19" ht="12.75">
      <c r="B44" s="54">
        <f t="shared" si="5"/>
        <v>2037</v>
      </c>
      <c r="C44" s="3">
        <f t="shared" si="13"/>
        <v>40135.240072199485</v>
      </c>
      <c r="D44" s="3">
        <f t="shared" si="0"/>
        <v>13250.414277465636</v>
      </c>
      <c r="E44" s="3">
        <f t="shared" si="7"/>
        <v>1127186.2675353873</v>
      </c>
      <c r="G44" s="50">
        <f t="shared" si="8"/>
        <v>32719.854866212467</v>
      </c>
      <c r="H44" s="47">
        <f t="shared" si="9"/>
        <v>8846.404872113737</v>
      </c>
      <c r="I44" s="47">
        <f t="shared" si="10"/>
        <v>9808.84804949489</v>
      </c>
      <c r="J44" s="47">
        <f t="shared" si="11"/>
        <v>2010.5465618440314</v>
      </c>
      <c r="K44" s="50">
        <f t="shared" si="2"/>
        <v>53385.65434966512</v>
      </c>
      <c r="L44" s="50">
        <f>'Monthly  Mortgage Calculation'!E277</f>
        <v>61874.054670002384</v>
      </c>
      <c r="M44" s="50">
        <f t="shared" si="12"/>
        <v>804218.6247376126</v>
      </c>
      <c r="N44" s="50">
        <f t="shared" si="3"/>
        <v>742344.5700676101</v>
      </c>
      <c r="O44" s="39"/>
      <c r="P44" s="46" t="s">
        <v>86</v>
      </c>
      <c r="Q44" s="104">
        <f t="shared" si="4"/>
        <v>384841.6974677772</v>
      </c>
      <c r="R44" s="81">
        <f>((-((E44-E$21)-SUM(D$21:D43))*($D$14))+E44)-((M44-($H$17*M44))-L44)</f>
        <v>361448.3781935099</v>
      </c>
      <c r="S44" s="44"/>
    </row>
    <row r="45" spans="2:19" ht="12.75">
      <c r="B45" s="54">
        <f t="shared" si="5"/>
        <v>2038</v>
      </c>
      <c r="C45" s="3">
        <f t="shared" si="13"/>
        <v>40937.94487364348</v>
      </c>
      <c r="D45" s="3">
        <f t="shared" si="0"/>
        <v>12861.025465690698</v>
      </c>
      <c r="E45" s="3">
        <f t="shared" si="7"/>
        <v>1219803.4850400414</v>
      </c>
      <c r="G45" s="50">
        <f t="shared" si="8"/>
        <v>32719.854866212467</v>
      </c>
      <c r="H45" s="47">
        <f t="shared" si="9"/>
        <v>9023.332969556013</v>
      </c>
      <c r="I45" s="47">
        <f t="shared" si="10"/>
        <v>10005.02501048479</v>
      </c>
      <c r="J45" s="47">
        <f t="shared" si="11"/>
        <v>2050.7574930809124</v>
      </c>
      <c r="K45" s="50">
        <f t="shared" si="2"/>
        <v>53798.97033933418</v>
      </c>
      <c r="L45" s="50">
        <f>'Monthly  Mortgage Calculation'!E289</f>
        <v>31776.10182661325</v>
      </c>
      <c r="M45" s="50">
        <f t="shared" si="12"/>
        <v>820302.9972323648</v>
      </c>
      <c r="N45" s="50">
        <f t="shared" si="3"/>
        <v>788526.8954057515</v>
      </c>
      <c r="O45" s="39"/>
      <c r="P45" s="46" t="s">
        <v>87</v>
      </c>
      <c r="Q45" s="104">
        <f t="shared" si="4"/>
        <v>431276.58963428985</v>
      </c>
      <c r="R45" s="81">
        <f>((-((E45-E$21)-SUM(D$21:D44))*($D$14))+E45)-((M45-($H$17*M45))-L45)</f>
        <v>400911.65238698886</v>
      </c>
      <c r="S45" s="44"/>
    </row>
    <row r="46" spans="2:19" ht="12.75">
      <c r="B46" s="54">
        <f t="shared" si="5"/>
        <v>2039</v>
      </c>
      <c r="C46" s="3">
        <f t="shared" si="13"/>
        <v>41756.70377111635</v>
      </c>
      <c r="D46" s="3">
        <f t="shared" si="0"/>
        <v>-20256.0059885322</v>
      </c>
      <c r="E46" s="3">
        <f t="shared" si="7"/>
        <v>1318500.8903498342</v>
      </c>
      <c r="G46" s="50">
        <f t="shared" si="8"/>
        <v>0</v>
      </c>
      <c r="H46" s="47">
        <f t="shared" si="9"/>
        <v>9203.799628947134</v>
      </c>
      <c r="I46" s="47">
        <f t="shared" si="10"/>
        <v>10205.125510694485</v>
      </c>
      <c r="J46" s="47">
        <f t="shared" si="11"/>
        <v>2091.7726429425306</v>
      </c>
      <c r="K46" s="50">
        <f t="shared" si="2"/>
        <v>21500.69778258415</v>
      </c>
      <c r="L46" s="50">
        <f>'Monthly  Mortgage Calculation'!E301</f>
        <v>0</v>
      </c>
      <c r="M46" s="50">
        <f t="shared" si="12"/>
        <v>836709.0571770122</v>
      </c>
      <c r="N46" s="50">
        <f t="shared" si="3"/>
        <v>836709.0571770122</v>
      </c>
      <c r="O46" s="39"/>
      <c r="P46" s="46" t="s">
        <v>88</v>
      </c>
      <c r="Q46" s="104">
        <f t="shared" si="4"/>
        <v>481791.833172822</v>
      </c>
      <c r="R46" s="81">
        <f>((-((E46-E$21)-SUM(D$21:D45))*($D$14))+E46)-((M46-($H$17*M46))-L46)</f>
        <v>443827.6215377897</v>
      </c>
      <c r="S46" s="44"/>
    </row>
    <row r="47" spans="2:19" ht="12.75">
      <c r="B47" s="54">
        <f t="shared" si="5"/>
        <v>2040</v>
      </c>
      <c r="C47" s="3">
        <f t="shared" si="13"/>
        <v>42591.83784653868</v>
      </c>
      <c r="D47" s="3">
        <f t="shared" si="0"/>
        <v>-20661.126108302844</v>
      </c>
      <c r="E47" s="3">
        <f t="shared" si="7"/>
        <v>1389830.986476192</v>
      </c>
      <c r="G47" s="50">
        <f t="shared" si="8"/>
        <v>0</v>
      </c>
      <c r="H47" s="47">
        <f t="shared" si="9"/>
        <v>9387.875621526076</v>
      </c>
      <c r="I47" s="47">
        <f t="shared" si="10"/>
        <v>10409.228020908376</v>
      </c>
      <c r="J47" s="47">
        <f t="shared" si="11"/>
        <v>2133.6080958013813</v>
      </c>
      <c r="K47" s="50">
        <f t="shared" si="2"/>
        <v>21930.711738235834</v>
      </c>
      <c r="L47" s="50">
        <f>'Monthly  Mortgage Calculation'!E313</f>
        <v>0</v>
      </c>
      <c r="M47" s="50">
        <f t="shared" si="12"/>
        <v>853443.2383205525</v>
      </c>
      <c r="N47" s="50">
        <f t="shared" si="3"/>
        <v>853443.2383205525</v>
      </c>
      <c r="O47" s="39"/>
      <c r="P47" s="46" t="s">
        <v>89</v>
      </c>
      <c r="Q47" s="104">
        <f t="shared" si="4"/>
        <v>536387.7481556395</v>
      </c>
      <c r="R47" s="81">
        <f>((-((E47-E$21)-SUM(D$21:D46))*($D$14))+E47)-((M47-($H$17*M47))-L47)</f>
        <v>490268.97717773065</v>
      </c>
      <c r="S47" s="44"/>
    </row>
    <row r="48" spans="2:19" ht="12.75">
      <c r="B48" s="54">
        <f t="shared" si="5"/>
        <v>2041</v>
      </c>
      <c r="C48" s="3">
        <f t="shared" si="13"/>
        <v>43443.67460346945</v>
      </c>
      <c r="D48" s="3">
        <f t="shared" si="0"/>
        <v>-21074.3486304689</v>
      </c>
      <c r="E48" s="3">
        <f t="shared" si="7"/>
        <v>1465734.890007432</v>
      </c>
      <c r="G48" s="50">
        <f t="shared" si="8"/>
        <v>0</v>
      </c>
      <c r="H48" s="47">
        <f t="shared" si="9"/>
        <v>9575.633133956599</v>
      </c>
      <c r="I48" s="47">
        <f t="shared" si="10"/>
        <v>10617.412581326544</v>
      </c>
      <c r="J48" s="47">
        <f t="shared" si="11"/>
        <v>2176.280257717409</v>
      </c>
      <c r="K48" s="50">
        <f t="shared" si="2"/>
        <v>22369.325973000552</v>
      </c>
      <c r="L48" s="50">
        <f>'Monthly  Mortgage Calculation'!E325</f>
        <v>0</v>
      </c>
      <c r="M48" s="50">
        <f t="shared" si="12"/>
        <v>870512.1030869635</v>
      </c>
      <c r="N48" s="50">
        <f t="shared" si="3"/>
        <v>870512.1030869635</v>
      </c>
      <c r="O48" s="39"/>
      <c r="P48" s="46" t="s">
        <v>90</v>
      </c>
      <c r="Q48" s="104">
        <f t="shared" si="4"/>
        <v>595222.7869204686</v>
      </c>
      <c r="R48" s="81">
        <f>((-((E48-E$21)-SUM(D$21:D47))*($D$14))+E48)-((M48-($H$17*M48))-L48)</f>
        <v>540471.64486459</v>
      </c>
      <c r="S48" s="44"/>
    </row>
    <row r="49" spans="2:19" ht="12.75">
      <c r="B49" s="54">
        <f t="shared" si="5"/>
        <v>2042</v>
      </c>
      <c r="C49" s="3">
        <f t="shared" si="13"/>
        <v>44312.54809553884</v>
      </c>
      <c r="D49" s="3">
        <f t="shared" si="0"/>
        <v>-21495.83560307828</v>
      </c>
      <c r="E49" s="3">
        <f t="shared" si="7"/>
        <v>1546524.3814754172</v>
      </c>
      <c r="G49" s="50">
        <f t="shared" si="8"/>
        <v>0</v>
      </c>
      <c r="H49" s="47">
        <f t="shared" si="9"/>
        <v>9767.14579663573</v>
      </c>
      <c r="I49" s="47">
        <f t="shared" si="10"/>
        <v>10829.760832953074</v>
      </c>
      <c r="J49" s="47">
        <f t="shared" si="11"/>
        <v>2219.805862871757</v>
      </c>
      <c r="K49" s="50">
        <f t="shared" si="2"/>
        <v>22816.71249246056</v>
      </c>
      <c r="L49" s="50">
        <f>'Monthly  Mortgage Calculation'!E337</f>
        <v>0</v>
      </c>
      <c r="M49" s="50">
        <f t="shared" si="12"/>
        <v>887922.3451487029</v>
      </c>
      <c r="N49" s="50">
        <f t="shared" si="3"/>
        <v>887922.3451487029</v>
      </c>
      <c r="O49" s="39"/>
      <c r="P49" s="46" t="s">
        <v>91</v>
      </c>
      <c r="Q49" s="104">
        <f t="shared" si="4"/>
        <v>658602.0363267143</v>
      </c>
      <c r="R49" s="81">
        <f>((-((E49-E$21)-SUM(D$21:D48))*($D$14))+E49)-((M49-($H$17*M49))-L49)</f>
        <v>594709.1247846948</v>
      </c>
      <c r="S49" s="44"/>
    </row>
    <row r="50" spans="2:19" ht="12.75">
      <c r="B50" s="54">
        <f t="shared" si="5"/>
        <v>2043</v>
      </c>
      <c r="C50" s="3">
        <f t="shared" si="13"/>
        <v>45198.79905744962</v>
      </c>
      <c r="D50" s="3">
        <f t="shared" si="0"/>
        <v>-21925.752315139845</v>
      </c>
      <c r="E50" s="3">
        <f t="shared" si="7"/>
        <v>1632532.8983295106</v>
      </c>
      <c r="G50" s="50">
        <f t="shared" si="8"/>
        <v>0</v>
      </c>
      <c r="H50" s="47">
        <f t="shared" si="9"/>
        <v>9962.488712568445</v>
      </c>
      <c r="I50" s="47">
        <f t="shared" si="10"/>
        <v>11046.356049612135</v>
      </c>
      <c r="J50" s="47">
        <f t="shared" si="11"/>
        <v>2264.201980129192</v>
      </c>
      <c r="K50" s="50">
        <f t="shared" si="2"/>
        <v>23273.046742309776</v>
      </c>
      <c r="L50" s="50">
        <f>'Monthly  Mortgage Calculation'!E349</f>
        <v>0</v>
      </c>
      <c r="M50" s="50">
        <f t="shared" si="12"/>
        <v>905680.7920516769</v>
      </c>
      <c r="N50" s="50">
        <f t="shared" si="3"/>
        <v>905680.7920516769</v>
      </c>
      <c r="O50" s="39"/>
      <c r="P50" s="46" t="s">
        <v>92</v>
      </c>
      <c r="Q50" s="104">
        <f t="shared" si="4"/>
        <v>726852.1062778337</v>
      </c>
      <c r="R50" s="81">
        <f>((-((E50-E$21)-SUM(D$21:D49))*($D$14))+E50)-((M50-($H$17*M50))-L50)</f>
        <v>653274.2663042754</v>
      </c>
      <c r="S50" s="44"/>
    </row>
    <row r="51" spans="2:19" ht="12.75">
      <c r="B51" s="54">
        <f t="shared" si="5"/>
        <v>2044</v>
      </c>
      <c r="C51" s="3">
        <f t="shared" si="13"/>
        <v>46102.775038598615</v>
      </c>
      <c r="D51" s="3">
        <f t="shared" si="0"/>
        <v>-22364.267361442646</v>
      </c>
      <c r="E51" s="57">
        <f t="shared" si="7"/>
        <v>1724117.0475664067</v>
      </c>
      <c r="G51" s="50">
        <f t="shared" si="8"/>
        <v>0</v>
      </c>
      <c r="H51" s="47">
        <f t="shared" si="9"/>
        <v>10161.738486819813</v>
      </c>
      <c r="I51" s="47">
        <f t="shared" si="10"/>
        <v>11267.283170604378</v>
      </c>
      <c r="J51" s="47">
        <f t="shared" si="11"/>
        <v>2309.486019731776</v>
      </c>
      <c r="K51" s="50">
        <f t="shared" si="2"/>
        <v>23738.50767715597</v>
      </c>
      <c r="L51" s="50">
        <f>'Monthly  Mortgage Calculation'!E350</f>
        <v>0</v>
      </c>
      <c r="M51" s="50">
        <f t="shared" si="12"/>
        <v>923794.4078927104</v>
      </c>
      <c r="N51" s="13">
        <f t="shared" si="3"/>
        <v>923794.4078927104</v>
      </c>
      <c r="O51" s="39"/>
      <c r="P51" s="46" t="s">
        <v>93</v>
      </c>
      <c r="Q51" s="104">
        <f t="shared" si="4"/>
        <v>800322.6396736962</v>
      </c>
      <c r="R51" s="81">
        <f>((-((E51-E$21)-SUM(D$21:D50))*($D$14))+E51)-((M51-($H$17*M51))-L51)</f>
        <v>716480.6264953963</v>
      </c>
      <c r="S51" s="44"/>
    </row>
    <row r="52" spans="2:18" ht="12.75">
      <c r="B52" s="54"/>
      <c r="C52" s="54"/>
      <c r="D52" s="54"/>
      <c r="E52" s="54"/>
      <c r="G52" s="39"/>
      <c r="H52" s="39"/>
      <c r="I52" s="39"/>
      <c r="J52" s="39"/>
      <c r="K52" s="39"/>
      <c r="L52" s="39"/>
      <c r="M52" s="39"/>
      <c r="N52" s="39"/>
      <c r="O52" s="39"/>
      <c r="Q52" s="8"/>
      <c r="R52" s="8"/>
    </row>
    <row r="53" spans="2:18" ht="12.75">
      <c r="B53" s="110" t="s">
        <v>94</v>
      </c>
      <c r="C53" s="111"/>
      <c r="D53" s="111"/>
      <c r="E53" s="111"/>
      <c r="G53" s="39"/>
      <c r="H53" s="39"/>
      <c r="I53" s="39"/>
      <c r="J53" s="39"/>
      <c r="K53" s="39"/>
      <c r="L53" s="39"/>
      <c r="M53" s="39"/>
      <c r="N53" s="39"/>
      <c r="O53" s="39"/>
      <c r="Q53" s="8"/>
      <c r="R53" s="8"/>
    </row>
    <row r="54" spans="2:18" ht="12.75">
      <c r="B54" s="110" t="s">
        <v>95</v>
      </c>
      <c r="C54" s="111"/>
      <c r="D54" s="111"/>
      <c r="E54" s="111"/>
      <c r="G54" s="39"/>
      <c r="H54" s="39"/>
      <c r="I54" s="39"/>
      <c r="J54" s="39"/>
      <c r="K54" s="39"/>
      <c r="L54" s="39"/>
      <c r="M54" s="39"/>
      <c r="N54" s="39"/>
      <c r="O54" s="39"/>
      <c r="Q54" s="8"/>
      <c r="R54" s="8"/>
    </row>
  </sheetData>
  <sheetProtection/>
  <mergeCells count="18">
    <mergeCell ref="A5:A6"/>
    <mergeCell ref="B1:E1"/>
    <mergeCell ref="G1:O1"/>
    <mergeCell ref="Q1:R1"/>
    <mergeCell ref="A2:A4"/>
    <mergeCell ref="C4:D4"/>
    <mergeCell ref="G4:H4"/>
    <mergeCell ref="L4:O4"/>
    <mergeCell ref="Q18:R18"/>
    <mergeCell ref="B53:E53"/>
    <mergeCell ref="M10:N10"/>
    <mergeCell ref="M11:N11"/>
    <mergeCell ref="M12:N12"/>
    <mergeCell ref="M13:N13"/>
    <mergeCell ref="B54:E54"/>
    <mergeCell ref="M14:N14"/>
    <mergeCell ref="C15:E16"/>
    <mergeCell ref="G16:H16"/>
  </mergeCells>
  <hyperlinks>
    <hyperlink ref="A11" r:id="rId1" display="www.holypotato.net/?p=1073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3" sqref="H3"/>
    </sheetView>
  </sheetViews>
  <sheetFormatPr defaultColWidth="17.140625" defaultRowHeight="12.75" customHeight="1"/>
  <sheetData>
    <row r="1" spans="1:9" ht="12.75">
      <c r="A1" s="15" t="s">
        <v>49</v>
      </c>
      <c r="B1" s="15" t="s">
        <v>96</v>
      </c>
      <c r="C1" s="75" t="s">
        <v>97</v>
      </c>
      <c r="D1" s="75" t="s">
        <v>98</v>
      </c>
      <c r="E1" s="75" t="s">
        <v>99</v>
      </c>
      <c r="F1" s="43"/>
      <c r="G1" s="131" t="s">
        <v>100</v>
      </c>
      <c r="H1" s="121"/>
      <c r="I1" s="74"/>
    </row>
    <row r="2" spans="1:9" ht="25.5" customHeight="1">
      <c r="A2" s="39">
        <v>2012</v>
      </c>
      <c r="B2" s="39">
        <v>1</v>
      </c>
      <c r="C2" s="10">
        <f aca="true" t="shared" si="0" ref="C2:C65">IF((((A2-$A$2)+1)&gt;10),$I$15,IF((((A2-$A$2)+1)&gt;5),$I$14,$I$13))</f>
        <v>2344.1702964999713</v>
      </c>
      <c r="D2" s="10">
        <f>IF((((A2-$A$2)+1)&gt;10),$H$15,IF((((A2-$A$2)+1)&gt;5),$H$14,$H$13))*H2</f>
        <v>1357.128933610109</v>
      </c>
      <c r="E2" s="10">
        <f>MAX((H2-(C2-D2)),0)</f>
        <v>469028.9586371102</v>
      </c>
      <c r="F2" s="43"/>
      <c r="G2" s="36" t="s">
        <v>58</v>
      </c>
      <c r="H2" s="48">
        <f>'Assumptions and Summary'!H5*((1-'Assumptions and Summary'!H6)*(1+'Assumptions and Summary'!H13))</f>
        <v>470016.00000000006</v>
      </c>
      <c r="I2" s="32"/>
    </row>
    <row r="3" spans="1:9" ht="12.75">
      <c r="A3" s="39">
        <f aca="true" t="shared" si="1" ref="A3:A66">IF((B3=1),(A2+1),A2)</f>
        <v>2012</v>
      </c>
      <c r="B3" s="39">
        <f aca="true" t="shared" si="2" ref="B3:B66">IF((B2=12),1,(B2+1))</f>
        <v>2</v>
      </c>
      <c r="C3" s="10">
        <f t="shared" si="0"/>
        <v>2344.1702964999713</v>
      </c>
      <c r="D3" s="10">
        <f aca="true" t="shared" si="3" ref="D3:D66">IF((((A3-$A$2)+1)&gt;10),$H$15,IF((((A3-$A$2)+1)&gt;5),$H$14,$H$13))*E2</f>
        <v>1354.2789404348814</v>
      </c>
      <c r="E3" s="10">
        <f aca="true" t="shared" si="4" ref="E3:E66">MAX((E2-(C3-D3)),0)</f>
        <v>468039.0672810451</v>
      </c>
      <c r="F3" s="43"/>
      <c r="G3" s="62" t="s">
        <v>101</v>
      </c>
      <c r="H3" s="37">
        <f>'Assumptions and Summary'!H7</f>
        <v>25</v>
      </c>
      <c r="I3" s="32"/>
    </row>
    <row r="4" spans="1:8" ht="12.75">
      <c r="A4" s="39">
        <f t="shared" si="1"/>
        <v>2012</v>
      </c>
      <c r="B4" s="39">
        <f t="shared" si="2"/>
        <v>3</v>
      </c>
      <c r="C4" s="10">
        <f t="shared" si="0"/>
        <v>2344.1702964999713</v>
      </c>
      <c r="D4" s="10">
        <f t="shared" si="3"/>
        <v>1351.420718160647</v>
      </c>
      <c r="E4" s="10">
        <f t="shared" si="4"/>
        <v>467046.31770270574</v>
      </c>
      <c r="G4" s="24"/>
      <c r="H4" s="24"/>
    </row>
    <row r="5" spans="1:8" ht="12.75">
      <c r="A5" s="39">
        <f t="shared" si="1"/>
        <v>2012</v>
      </c>
      <c r="B5" s="39">
        <f t="shared" si="2"/>
        <v>4</v>
      </c>
      <c r="C5" s="10">
        <f t="shared" si="0"/>
        <v>2344.1702964999713</v>
      </c>
      <c r="D5" s="10">
        <f t="shared" si="3"/>
        <v>1348.5542430266228</v>
      </c>
      <c r="E5" s="10">
        <f t="shared" si="4"/>
        <v>466050.7016492324</v>
      </c>
      <c r="G5" s="33"/>
      <c r="H5" s="33"/>
    </row>
    <row r="6" spans="1:9" ht="12.75">
      <c r="A6" s="39">
        <f t="shared" si="1"/>
        <v>2012</v>
      </c>
      <c r="B6" s="39">
        <f t="shared" si="2"/>
        <v>5</v>
      </c>
      <c r="C6" s="10">
        <f t="shared" si="0"/>
        <v>2344.1702964999713</v>
      </c>
      <c r="D6" s="10">
        <f t="shared" si="3"/>
        <v>1345.6794912034181</v>
      </c>
      <c r="E6" s="10">
        <f t="shared" si="4"/>
        <v>465052.21084393584</v>
      </c>
      <c r="F6" s="43"/>
      <c r="G6" s="78" t="s">
        <v>102</v>
      </c>
      <c r="H6" s="61" t="s">
        <v>103</v>
      </c>
      <c r="I6" s="32"/>
    </row>
    <row r="7" spans="1:9" ht="12.75">
      <c r="A7" s="39">
        <f t="shared" si="1"/>
        <v>2012</v>
      </c>
      <c r="B7" s="39">
        <f t="shared" si="2"/>
        <v>6</v>
      </c>
      <c r="C7" s="10">
        <f t="shared" si="0"/>
        <v>2344.1702964999713</v>
      </c>
      <c r="D7" s="10">
        <f t="shared" si="3"/>
        <v>1342.796438792837</v>
      </c>
      <c r="E7" s="10">
        <f t="shared" si="4"/>
        <v>464050.8369862287</v>
      </c>
      <c r="F7" s="43"/>
      <c r="G7" s="25" t="str">
        <f>'Assumptions and Summary'!J6</f>
        <v>First 5 Years</v>
      </c>
      <c r="H7" s="25">
        <f>'Assumptions and Summary'!K6</f>
        <v>0.0349</v>
      </c>
      <c r="I7" s="32"/>
    </row>
    <row r="8" spans="1:9" ht="12.75">
      <c r="A8" s="39">
        <f t="shared" si="1"/>
        <v>2012</v>
      </c>
      <c r="B8" s="39">
        <f t="shared" si="2"/>
        <v>7</v>
      </c>
      <c r="C8" s="10">
        <f t="shared" si="0"/>
        <v>2344.1702964999713</v>
      </c>
      <c r="D8" s="10">
        <f t="shared" si="3"/>
        <v>1339.9050618276804</v>
      </c>
      <c r="E8" s="10">
        <f t="shared" si="4"/>
        <v>463046.5717515564</v>
      </c>
      <c r="F8" s="43"/>
      <c r="G8" s="25" t="str">
        <f>'Assumptions and Summary'!J7</f>
        <v>Next 5 Years:</v>
      </c>
      <c r="H8" s="25">
        <f>'Assumptions and Summary'!K7</f>
        <v>0.045</v>
      </c>
      <c r="I8" s="32"/>
    </row>
    <row r="9" spans="1:9" ht="12.75">
      <c r="A9" s="39">
        <f t="shared" si="1"/>
        <v>2012</v>
      </c>
      <c r="B9" s="39">
        <f t="shared" si="2"/>
        <v>8</v>
      </c>
      <c r="C9" s="10">
        <f t="shared" si="0"/>
        <v>2344.1702964999713</v>
      </c>
      <c r="D9" s="10">
        <f t="shared" si="3"/>
        <v>1337.005336271545</v>
      </c>
      <c r="E9" s="10">
        <f t="shared" si="4"/>
        <v>462039.406791328</v>
      </c>
      <c r="F9" s="43"/>
      <c r="G9" s="52" t="str">
        <f>'Assumptions and Summary'!J8</f>
        <v>Final 15 Years</v>
      </c>
      <c r="H9" s="52">
        <f>'Assumptions and Summary'!K8</f>
        <v>0.055</v>
      </c>
      <c r="I9" s="32"/>
    </row>
    <row r="10" spans="1:9" ht="12.75">
      <c r="A10" s="39">
        <f t="shared" si="1"/>
        <v>2012</v>
      </c>
      <c r="B10" s="39">
        <f t="shared" si="2"/>
        <v>9</v>
      </c>
      <c r="C10" s="10">
        <f t="shared" si="0"/>
        <v>2344.1702964999713</v>
      </c>
      <c r="D10" s="10">
        <f t="shared" si="3"/>
        <v>1334.0972380186254</v>
      </c>
      <c r="E10" s="10">
        <f t="shared" si="4"/>
        <v>461029.33373284666</v>
      </c>
      <c r="G10" s="7"/>
      <c r="H10" s="7"/>
      <c r="I10" s="68"/>
    </row>
    <row r="11" spans="1:10" ht="12.75">
      <c r="A11" s="39">
        <f t="shared" si="1"/>
        <v>2012</v>
      </c>
      <c r="B11" s="39">
        <f t="shared" si="2"/>
        <v>10</v>
      </c>
      <c r="C11" s="10">
        <f t="shared" si="0"/>
        <v>2344.1702964999713</v>
      </c>
      <c r="D11" s="10">
        <f t="shared" si="3"/>
        <v>1331.1807428935124</v>
      </c>
      <c r="E11" s="10">
        <f t="shared" si="4"/>
        <v>460016.3441792402</v>
      </c>
      <c r="F11" s="43"/>
      <c r="G11" s="132" t="s">
        <v>104</v>
      </c>
      <c r="H11" s="130"/>
      <c r="I11" s="116"/>
      <c r="J11" s="32"/>
    </row>
    <row r="12" spans="1:10" ht="12.75">
      <c r="A12" s="39">
        <f t="shared" si="1"/>
        <v>2012</v>
      </c>
      <c r="B12" s="39">
        <f t="shared" si="2"/>
        <v>11</v>
      </c>
      <c r="C12" s="10">
        <f t="shared" si="0"/>
        <v>2344.1702964999713</v>
      </c>
      <c r="D12" s="10">
        <f t="shared" si="3"/>
        <v>1328.2558266509927</v>
      </c>
      <c r="E12" s="10">
        <f t="shared" si="4"/>
        <v>459000.4297093912</v>
      </c>
      <c r="F12" s="43"/>
      <c r="G12" s="4"/>
      <c r="H12" s="78" t="s">
        <v>105</v>
      </c>
      <c r="I12" s="61" t="s">
        <v>106</v>
      </c>
      <c r="J12" s="32"/>
    </row>
    <row r="13" spans="1:10" ht="12.75">
      <c r="A13" s="39">
        <f t="shared" si="1"/>
        <v>2012</v>
      </c>
      <c r="B13" s="39">
        <f t="shared" si="2"/>
        <v>12</v>
      </c>
      <c r="C13" s="10">
        <f t="shared" si="0"/>
        <v>2344.1702964999713</v>
      </c>
      <c r="D13" s="10">
        <f t="shared" si="3"/>
        <v>1325.3224649758472</v>
      </c>
      <c r="E13" s="10">
        <f t="shared" si="4"/>
        <v>457981.58187786705</v>
      </c>
      <c r="F13" s="43"/>
      <c r="G13" s="25" t="str">
        <f>'Assumptions and Summary'!J11</f>
        <v>First 5 Years</v>
      </c>
      <c r="H13" s="22">
        <f>((((($H7/2)+1)^2)^(1/12)-1))</f>
        <v>0.002887410074572161</v>
      </c>
      <c r="I13" s="35">
        <f>-PMT(H13,($H$3*12),H2)</f>
        <v>2344.1702964999713</v>
      </c>
      <c r="J13" s="32"/>
    </row>
    <row r="14" spans="1:10" ht="12.75">
      <c r="A14" s="39">
        <f t="shared" si="1"/>
        <v>2013</v>
      </c>
      <c r="B14" s="39">
        <f t="shared" si="2"/>
        <v>1</v>
      </c>
      <c r="C14" s="10">
        <f t="shared" si="0"/>
        <v>2344.1702964999713</v>
      </c>
      <c r="D14" s="10">
        <f t="shared" si="3"/>
        <v>1322.3806334826484</v>
      </c>
      <c r="E14" s="10">
        <f t="shared" si="4"/>
        <v>456959.79221484973</v>
      </c>
      <c r="F14" s="43"/>
      <c r="G14" s="25" t="str">
        <f>'Assumptions and Summary'!J12</f>
        <v>Next 5 Years:</v>
      </c>
      <c r="H14" s="22">
        <f>((((($H8/2)+1)^2)^(1/12)-1))</f>
        <v>0.0037153195748071965</v>
      </c>
      <c r="I14" s="35">
        <f>-PMT(H14,(($H$3-5)*12),$E$61)</f>
        <v>2556.01211814809</v>
      </c>
      <c r="J14" s="32"/>
    </row>
    <row r="15" spans="1:10" ht="12.75">
      <c r="A15" s="39">
        <f t="shared" si="1"/>
        <v>2013</v>
      </c>
      <c r="B15" s="39">
        <f t="shared" si="2"/>
        <v>2</v>
      </c>
      <c r="C15" s="10">
        <f t="shared" si="0"/>
        <v>2344.1702964999713</v>
      </c>
      <c r="D15" s="10">
        <f t="shared" si="3"/>
        <v>1319.4303077155585</v>
      </c>
      <c r="E15" s="10">
        <f t="shared" si="4"/>
        <v>455935.0522260653</v>
      </c>
      <c r="F15" s="43"/>
      <c r="G15" s="52" t="str">
        <f>'Assumptions and Summary'!J13</f>
        <v>Final 15 Years</v>
      </c>
      <c r="H15" s="22">
        <f>((((($H9/2)+1)^2)^(1/12)-1))</f>
        <v>0.004531681718277003</v>
      </c>
      <c r="I15" s="65">
        <f>-PMT(H15,(($H$3-10)*12),$E$121)</f>
        <v>2726.6545721843722</v>
      </c>
      <c r="J15" s="32"/>
    </row>
    <row r="16" spans="1:9" ht="12.75">
      <c r="A16" s="39">
        <f t="shared" si="1"/>
        <v>2013</v>
      </c>
      <c r="B16" s="39">
        <f t="shared" si="2"/>
        <v>3</v>
      </c>
      <c r="C16" s="10">
        <f t="shared" si="0"/>
        <v>2344.1702964999713</v>
      </c>
      <c r="D16" s="10">
        <f t="shared" si="3"/>
        <v>1316.4714631481254</v>
      </c>
      <c r="E16" s="10">
        <f t="shared" si="4"/>
        <v>454907.35339271347</v>
      </c>
      <c r="G16" s="12"/>
      <c r="H16" s="12"/>
      <c r="I16" s="12"/>
    </row>
    <row r="17" spans="1:5" ht="12.75">
      <c r="A17" s="39">
        <f t="shared" si="1"/>
        <v>2013</v>
      </c>
      <c r="B17" s="39">
        <f t="shared" si="2"/>
        <v>4</v>
      </c>
      <c r="C17" s="10">
        <f t="shared" si="0"/>
        <v>2344.1702964999713</v>
      </c>
      <c r="D17" s="10">
        <f t="shared" si="3"/>
        <v>1313.504075183079</v>
      </c>
      <c r="E17" s="10">
        <f t="shared" si="4"/>
        <v>453876.68717139657</v>
      </c>
    </row>
    <row r="18" spans="1:5" ht="12.75">
      <c r="A18" s="39">
        <f t="shared" si="1"/>
        <v>2013</v>
      </c>
      <c r="B18" s="39">
        <f t="shared" si="2"/>
        <v>5</v>
      </c>
      <c r="C18" s="10">
        <f t="shared" si="0"/>
        <v>2344.1702964999713</v>
      </c>
      <c r="D18" s="10">
        <f t="shared" si="3"/>
        <v>1310.5281191521276</v>
      </c>
      <c r="E18" s="10">
        <f t="shared" si="4"/>
        <v>452843.0449940487</v>
      </c>
    </row>
    <row r="19" spans="1:5" ht="12.75">
      <c r="A19" s="39">
        <f t="shared" si="1"/>
        <v>2013</v>
      </c>
      <c r="B19" s="39">
        <f t="shared" si="2"/>
        <v>6</v>
      </c>
      <c r="C19" s="10">
        <f t="shared" si="0"/>
        <v>2344.1702964999713</v>
      </c>
      <c r="D19" s="10">
        <f t="shared" si="3"/>
        <v>1307.5435703157507</v>
      </c>
      <c r="E19" s="10">
        <f t="shared" si="4"/>
        <v>451806.4182678645</v>
      </c>
    </row>
    <row r="20" spans="1:5" ht="12.75">
      <c r="A20" s="39">
        <f t="shared" si="1"/>
        <v>2013</v>
      </c>
      <c r="B20" s="39">
        <f t="shared" si="2"/>
        <v>7</v>
      </c>
      <c r="C20" s="10">
        <f t="shared" si="0"/>
        <v>2344.1702964999713</v>
      </c>
      <c r="D20" s="10">
        <f t="shared" si="3"/>
        <v>1304.5504038629956</v>
      </c>
      <c r="E20" s="10">
        <f t="shared" si="4"/>
        <v>450766.79837522755</v>
      </c>
    </row>
    <row r="21" spans="1:5" ht="12.75">
      <c r="A21" s="39">
        <f t="shared" si="1"/>
        <v>2013</v>
      </c>
      <c r="B21" s="39">
        <f t="shared" si="2"/>
        <v>8</v>
      </c>
      <c r="C21" s="10">
        <f t="shared" si="0"/>
        <v>2344.1702964999713</v>
      </c>
      <c r="D21" s="10">
        <f t="shared" si="3"/>
        <v>1301.54859491127</v>
      </c>
      <c r="E21" s="10">
        <f t="shared" si="4"/>
        <v>449724.17667363887</v>
      </c>
    </row>
    <row r="22" spans="1:5" ht="12.75">
      <c r="A22" s="39">
        <f t="shared" si="1"/>
        <v>2013</v>
      </c>
      <c r="B22" s="39">
        <f t="shared" si="2"/>
        <v>9</v>
      </c>
      <c r="C22" s="10">
        <f t="shared" si="0"/>
        <v>2344.1702964999713</v>
      </c>
      <c r="D22" s="10">
        <f t="shared" si="3"/>
        <v>1298.5381185061353</v>
      </c>
      <c r="E22" s="10">
        <f t="shared" si="4"/>
        <v>448678.54449564504</v>
      </c>
    </row>
    <row r="23" spans="1:5" ht="12.75">
      <c r="A23" s="39">
        <f t="shared" si="1"/>
        <v>2013</v>
      </c>
      <c r="B23" s="39">
        <f t="shared" si="2"/>
        <v>10</v>
      </c>
      <c r="C23" s="10">
        <f t="shared" si="0"/>
        <v>2344.1702964999713</v>
      </c>
      <c r="D23" s="10">
        <f t="shared" si="3"/>
        <v>1295.518949621099</v>
      </c>
      <c r="E23" s="10">
        <f t="shared" si="4"/>
        <v>447629.8931487662</v>
      </c>
    </row>
    <row r="24" spans="1:5" ht="12.75">
      <c r="A24" s="39">
        <f t="shared" si="1"/>
        <v>2013</v>
      </c>
      <c r="B24" s="39">
        <f t="shared" si="2"/>
        <v>11</v>
      </c>
      <c r="C24" s="10">
        <f t="shared" si="0"/>
        <v>2344.1702964999713</v>
      </c>
      <c r="D24" s="10">
        <f t="shared" si="3"/>
        <v>1292.4910631574073</v>
      </c>
      <c r="E24" s="10">
        <f t="shared" si="4"/>
        <v>446578.2139154236</v>
      </c>
    </row>
    <row r="25" spans="1:5" ht="12.75">
      <c r="A25" s="39">
        <f t="shared" si="1"/>
        <v>2013</v>
      </c>
      <c r="B25" s="39">
        <f t="shared" si="2"/>
        <v>12</v>
      </c>
      <c r="C25" s="10">
        <f t="shared" si="0"/>
        <v>2344.1702964999713</v>
      </c>
      <c r="D25" s="10">
        <f t="shared" si="3"/>
        <v>1289.4544339438357</v>
      </c>
      <c r="E25" s="10">
        <f t="shared" si="4"/>
        <v>445523.4980528675</v>
      </c>
    </row>
    <row r="26" spans="1:5" ht="12.75">
      <c r="A26" s="39">
        <f t="shared" si="1"/>
        <v>2014</v>
      </c>
      <c r="B26" s="39">
        <f t="shared" si="2"/>
        <v>1</v>
      </c>
      <c r="C26" s="10">
        <f t="shared" si="0"/>
        <v>2344.1702964999713</v>
      </c>
      <c r="D26" s="10">
        <f t="shared" si="3"/>
        <v>1286.4090367364802</v>
      </c>
      <c r="E26" s="10">
        <f t="shared" si="4"/>
        <v>444465.736793104</v>
      </c>
    </row>
    <row r="27" spans="1:5" ht="12.75">
      <c r="A27" s="39">
        <f t="shared" si="1"/>
        <v>2014</v>
      </c>
      <c r="B27" s="39">
        <f t="shared" si="2"/>
        <v>2</v>
      </c>
      <c r="C27" s="10">
        <f t="shared" si="0"/>
        <v>2344.1702964999713</v>
      </c>
      <c r="D27" s="10">
        <f t="shared" si="3"/>
        <v>1283.3548462185468</v>
      </c>
      <c r="E27" s="10">
        <f t="shared" si="4"/>
        <v>443404.92134282255</v>
      </c>
    </row>
    <row r="28" spans="1:5" ht="12.75">
      <c r="A28" s="39">
        <f t="shared" si="1"/>
        <v>2014</v>
      </c>
      <c r="B28" s="39">
        <f t="shared" si="2"/>
        <v>3</v>
      </c>
      <c r="C28" s="10">
        <f t="shared" si="0"/>
        <v>2344.1702964999713</v>
      </c>
      <c r="D28" s="10">
        <f t="shared" si="3"/>
        <v>1280.2918370001423</v>
      </c>
      <c r="E28" s="10">
        <f t="shared" si="4"/>
        <v>442341.0428833227</v>
      </c>
    </row>
    <row r="29" spans="1:5" ht="12.75">
      <c r="A29" s="39">
        <f t="shared" si="1"/>
        <v>2014</v>
      </c>
      <c r="B29" s="39">
        <f t="shared" si="2"/>
        <v>4</v>
      </c>
      <c r="C29" s="10">
        <f t="shared" si="0"/>
        <v>2344.1702964999713</v>
      </c>
      <c r="D29" s="10">
        <f t="shared" si="3"/>
        <v>1277.2199836180623</v>
      </c>
      <c r="E29" s="10">
        <f t="shared" si="4"/>
        <v>441274.0925704408</v>
      </c>
    </row>
    <row r="30" spans="1:5" ht="12.75">
      <c r="A30" s="39">
        <f t="shared" si="1"/>
        <v>2014</v>
      </c>
      <c r="B30" s="39">
        <f t="shared" si="2"/>
        <v>5</v>
      </c>
      <c r="C30" s="10">
        <f t="shared" si="0"/>
        <v>2344.1702964999713</v>
      </c>
      <c r="D30" s="10">
        <f t="shared" si="3"/>
        <v>1274.139260535579</v>
      </c>
      <c r="E30" s="10">
        <f t="shared" si="4"/>
        <v>440204.0615344764</v>
      </c>
    </row>
    <row r="31" spans="1:5" ht="12.75">
      <c r="A31" s="39">
        <f t="shared" si="1"/>
        <v>2014</v>
      </c>
      <c r="B31" s="39">
        <f t="shared" si="2"/>
        <v>6</v>
      </c>
      <c r="C31" s="10">
        <f t="shared" si="0"/>
        <v>2344.1702964999713</v>
      </c>
      <c r="D31" s="10">
        <f t="shared" si="3"/>
        <v>1271.0496421422306</v>
      </c>
      <c r="E31" s="10">
        <f t="shared" si="4"/>
        <v>439130.9408801187</v>
      </c>
    </row>
    <row r="32" spans="1:5" ht="12.75">
      <c r="A32" s="39">
        <f t="shared" si="1"/>
        <v>2014</v>
      </c>
      <c r="B32" s="39">
        <f t="shared" si="2"/>
        <v>7</v>
      </c>
      <c r="C32" s="10">
        <f t="shared" si="0"/>
        <v>2344.1702964999713</v>
      </c>
      <c r="D32" s="10">
        <f t="shared" si="3"/>
        <v>1267.9511027536066</v>
      </c>
      <c r="E32" s="10">
        <f t="shared" si="4"/>
        <v>438054.72168637236</v>
      </c>
    </row>
    <row r="33" spans="1:5" ht="12.75">
      <c r="A33" s="39">
        <f t="shared" si="1"/>
        <v>2014</v>
      </c>
      <c r="B33" s="39">
        <f t="shared" si="2"/>
        <v>8</v>
      </c>
      <c r="C33" s="10">
        <f t="shared" si="0"/>
        <v>2344.1702964999713</v>
      </c>
      <c r="D33" s="10">
        <f t="shared" si="3"/>
        <v>1264.8436166111355</v>
      </c>
      <c r="E33" s="10">
        <f t="shared" si="4"/>
        <v>436975.39500648354</v>
      </c>
    </row>
    <row r="34" spans="1:5" ht="12.75">
      <c r="A34" s="39">
        <f t="shared" si="1"/>
        <v>2014</v>
      </c>
      <c r="B34" s="39">
        <f t="shared" si="2"/>
        <v>9</v>
      </c>
      <c r="C34" s="10">
        <f t="shared" si="0"/>
        <v>2344.1702964999713</v>
      </c>
      <c r="D34" s="10">
        <f t="shared" si="3"/>
        <v>1261.7271578818702</v>
      </c>
      <c r="E34" s="10">
        <f t="shared" si="4"/>
        <v>435892.95186786546</v>
      </c>
    </row>
    <row r="35" spans="1:5" ht="12.75">
      <c r="A35" s="39">
        <f t="shared" si="1"/>
        <v>2014</v>
      </c>
      <c r="B35" s="39">
        <f t="shared" si="2"/>
        <v>10</v>
      </c>
      <c r="C35" s="10">
        <f t="shared" si="0"/>
        <v>2344.1702964999713</v>
      </c>
      <c r="D35" s="10">
        <f t="shared" si="3"/>
        <v>1258.6017006582726</v>
      </c>
      <c r="E35" s="10">
        <f t="shared" si="4"/>
        <v>434807.38327202376</v>
      </c>
    </row>
    <row r="36" spans="1:5" ht="12.75">
      <c r="A36" s="39">
        <f t="shared" si="1"/>
        <v>2014</v>
      </c>
      <c r="B36" s="39">
        <f t="shared" si="2"/>
        <v>11</v>
      </c>
      <c r="C36" s="10">
        <f t="shared" si="0"/>
        <v>2344.1702964999713</v>
      </c>
      <c r="D36" s="10">
        <f t="shared" si="3"/>
        <v>1255.4672189580003</v>
      </c>
      <c r="E36" s="10">
        <f t="shared" si="4"/>
        <v>433718.6801944818</v>
      </c>
    </row>
    <row r="37" spans="1:5" ht="12.75">
      <c r="A37" s="39">
        <f t="shared" si="1"/>
        <v>2014</v>
      </c>
      <c r="B37" s="39">
        <f t="shared" si="2"/>
        <v>12</v>
      </c>
      <c r="C37" s="10">
        <f t="shared" si="0"/>
        <v>2344.1702964999713</v>
      </c>
      <c r="D37" s="10">
        <f t="shared" si="3"/>
        <v>1252.3236867236878</v>
      </c>
      <c r="E37" s="10">
        <f t="shared" si="4"/>
        <v>432626.83358470554</v>
      </c>
    </row>
    <row r="38" spans="1:5" ht="12.75">
      <c r="A38" s="39">
        <f t="shared" si="1"/>
        <v>2015</v>
      </c>
      <c r="B38" s="39">
        <f t="shared" si="2"/>
        <v>1</v>
      </c>
      <c r="C38" s="10">
        <f t="shared" si="0"/>
        <v>2344.1702964999713</v>
      </c>
      <c r="D38" s="10">
        <f t="shared" si="3"/>
        <v>1249.1710778227325</v>
      </c>
      <c r="E38" s="10">
        <f t="shared" si="4"/>
        <v>431531.8343660283</v>
      </c>
    </row>
    <row r="39" spans="1:5" ht="12.75">
      <c r="A39" s="39">
        <f t="shared" si="1"/>
        <v>2015</v>
      </c>
      <c r="B39" s="39">
        <f t="shared" si="2"/>
        <v>2</v>
      </c>
      <c r="C39" s="10">
        <f t="shared" si="0"/>
        <v>2344.1702964999713</v>
      </c>
      <c r="D39" s="10">
        <f t="shared" si="3"/>
        <v>1246.0093660470752</v>
      </c>
      <c r="E39" s="10">
        <f t="shared" si="4"/>
        <v>430433.67343557545</v>
      </c>
    </row>
    <row r="40" spans="1:5" ht="12.75">
      <c r="A40" s="39">
        <f t="shared" si="1"/>
        <v>2015</v>
      </c>
      <c r="B40" s="39">
        <f t="shared" si="2"/>
        <v>3</v>
      </c>
      <c r="C40" s="10">
        <f t="shared" si="0"/>
        <v>2344.1702964999713</v>
      </c>
      <c r="D40" s="10">
        <f t="shared" si="3"/>
        <v>1242.8385251129841</v>
      </c>
      <c r="E40" s="10">
        <f t="shared" si="4"/>
        <v>429332.3416641885</v>
      </c>
    </row>
    <row r="41" spans="1:5" ht="12.75">
      <c r="A41" s="39">
        <f t="shared" si="1"/>
        <v>2015</v>
      </c>
      <c r="B41" s="39">
        <f t="shared" si="2"/>
        <v>4</v>
      </c>
      <c r="C41" s="10">
        <f t="shared" si="0"/>
        <v>2344.1702964999713</v>
      </c>
      <c r="D41" s="10">
        <f t="shared" si="3"/>
        <v>1239.658528660835</v>
      </c>
      <c r="E41" s="10">
        <f t="shared" si="4"/>
        <v>428227.82989634934</v>
      </c>
    </row>
    <row r="42" spans="1:5" ht="12.75">
      <c r="A42" s="39">
        <f t="shared" si="1"/>
        <v>2015</v>
      </c>
      <c r="B42" s="39">
        <f t="shared" si="2"/>
        <v>5</v>
      </c>
      <c r="C42" s="10">
        <f t="shared" si="0"/>
        <v>2344.1702964999713</v>
      </c>
      <c r="D42" s="10">
        <f t="shared" si="3"/>
        <v>1236.4693502548928</v>
      </c>
      <c r="E42" s="10">
        <f t="shared" si="4"/>
        <v>427120.1289501043</v>
      </c>
    </row>
    <row r="43" spans="1:5" ht="12.75">
      <c r="A43" s="39">
        <f t="shared" si="1"/>
        <v>2015</v>
      </c>
      <c r="B43" s="39">
        <f t="shared" si="2"/>
        <v>6</v>
      </c>
      <c r="C43" s="10">
        <f t="shared" si="0"/>
        <v>2344.1702964999713</v>
      </c>
      <c r="D43" s="10">
        <f t="shared" si="3"/>
        <v>1233.2709633830916</v>
      </c>
      <c r="E43" s="10">
        <f t="shared" si="4"/>
        <v>426009.2296169874</v>
      </c>
    </row>
    <row r="44" spans="1:5" ht="12.75">
      <c r="A44" s="39">
        <f t="shared" si="1"/>
        <v>2015</v>
      </c>
      <c r="B44" s="39">
        <f t="shared" si="2"/>
        <v>7</v>
      </c>
      <c r="C44" s="10">
        <f t="shared" si="0"/>
        <v>2344.1702964999713</v>
      </c>
      <c r="D44" s="10">
        <f t="shared" si="3"/>
        <v>1230.0633414568144</v>
      </c>
      <c r="E44" s="10">
        <f t="shared" si="4"/>
        <v>424895.12266194425</v>
      </c>
    </row>
    <row r="45" spans="1:5" ht="12.75">
      <c r="A45" s="39">
        <f t="shared" si="1"/>
        <v>2015</v>
      </c>
      <c r="B45" s="39">
        <f t="shared" si="2"/>
        <v>8</v>
      </c>
      <c r="C45" s="10">
        <f t="shared" si="0"/>
        <v>2344.1702964999713</v>
      </c>
      <c r="D45" s="10">
        <f t="shared" si="3"/>
        <v>1226.8464578106718</v>
      </c>
      <c r="E45" s="10">
        <f t="shared" si="4"/>
        <v>423777.79882325494</v>
      </c>
    </row>
    <row r="46" spans="1:5" ht="12.75">
      <c r="A46" s="39">
        <f t="shared" si="1"/>
        <v>2015</v>
      </c>
      <c r="B46" s="39">
        <f t="shared" si="2"/>
        <v>9</v>
      </c>
      <c r="C46" s="10">
        <f t="shared" si="0"/>
        <v>2344.1702964999713</v>
      </c>
      <c r="D46" s="10">
        <f t="shared" si="3"/>
        <v>1223.6202857022809</v>
      </c>
      <c r="E46" s="10">
        <f t="shared" si="4"/>
        <v>422657.24881245726</v>
      </c>
    </row>
    <row r="47" spans="1:5" ht="12.75">
      <c r="A47" s="39">
        <f t="shared" si="1"/>
        <v>2015</v>
      </c>
      <c r="B47" s="39">
        <f t="shared" si="2"/>
        <v>10</v>
      </c>
      <c r="C47" s="10">
        <f t="shared" si="0"/>
        <v>2344.1702964999713</v>
      </c>
      <c r="D47" s="10">
        <f t="shared" si="3"/>
        <v>1220.3847983120415</v>
      </c>
      <c r="E47" s="10">
        <f t="shared" si="4"/>
        <v>421533.4633142693</v>
      </c>
    </row>
    <row r="48" spans="1:5" ht="12.75">
      <c r="A48" s="39">
        <f t="shared" si="1"/>
        <v>2015</v>
      </c>
      <c r="B48" s="39">
        <f t="shared" si="2"/>
        <v>11</v>
      </c>
      <c r="C48" s="10">
        <f t="shared" si="0"/>
        <v>2344.1702964999713</v>
      </c>
      <c r="D48" s="10">
        <f t="shared" si="3"/>
        <v>1217.1399687429157</v>
      </c>
      <c r="E48" s="10">
        <f t="shared" si="4"/>
        <v>420406.43298651226</v>
      </c>
    </row>
    <row r="49" spans="1:5" ht="12.75">
      <c r="A49" s="39">
        <f t="shared" si="1"/>
        <v>2015</v>
      </c>
      <c r="B49" s="39">
        <f t="shared" si="2"/>
        <v>12</v>
      </c>
      <c r="C49" s="10">
        <f t="shared" si="0"/>
        <v>2344.1702964999713</v>
      </c>
      <c r="D49" s="10">
        <f t="shared" si="3"/>
        <v>1213.8857700202016</v>
      </c>
      <c r="E49" s="10">
        <f t="shared" si="4"/>
        <v>419276.1484600325</v>
      </c>
    </row>
    <row r="50" spans="1:5" ht="12.75">
      <c r="A50" s="39">
        <f t="shared" si="1"/>
        <v>2016</v>
      </c>
      <c r="B50" s="39">
        <f t="shared" si="2"/>
        <v>1</v>
      </c>
      <c r="C50" s="10">
        <f t="shared" si="0"/>
        <v>2344.1702964999713</v>
      </c>
      <c r="D50" s="10">
        <f t="shared" si="3"/>
        <v>1210.6221750913107</v>
      </c>
      <c r="E50" s="10">
        <f t="shared" si="4"/>
        <v>418142.6003386238</v>
      </c>
    </row>
    <row r="51" spans="1:5" ht="12.75">
      <c r="A51" s="39">
        <f t="shared" si="1"/>
        <v>2016</v>
      </c>
      <c r="B51" s="39">
        <f t="shared" si="2"/>
        <v>2</v>
      </c>
      <c r="C51" s="10">
        <f t="shared" si="0"/>
        <v>2344.1702964999713</v>
      </c>
      <c r="D51" s="10">
        <f t="shared" si="3"/>
        <v>1207.349156825543</v>
      </c>
      <c r="E51" s="10">
        <f t="shared" si="4"/>
        <v>417005.7791989494</v>
      </c>
    </row>
    <row r="52" spans="1:5" ht="12.75">
      <c r="A52" s="39">
        <f t="shared" si="1"/>
        <v>2016</v>
      </c>
      <c r="B52" s="39">
        <f t="shared" si="2"/>
        <v>3</v>
      </c>
      <c r="C52" s="10">
        <f t="shared" si="0"/>
        <v>2344.1702964999713</v>
      </c>
      <c r="D52" s="10">
        <f t="shared" si="3"/>
        <v>1204.0666880138606</v>
      </c>
      <c r="E52" s="10">
        <f t="shared" si="4"/>
        <v>415865.6755904633</v>
      </c>
    </row>
    <row r="53" spans="1:5" ht="12.75">
      <c r="A53" s="39">
        <f t="shared" si="1"/>
        <v>2016</v>
      </c>
      <c r="B53" s="39">
        <f t="shared" si="2"/>
        <v>4</v>
      </c>
      <c r="C53" s="10">
        <f t="shared" si="0"/>
        <v>2344.1702964999713</v>
      </c>
      <c r="D53" s="10">
        <f t="shared" si="3"/>
        <v>1200.7747413686616</v>
      </c>
      <c r="E53" s="10">
        <f t="shared" si="4"/>
        <v>414722.28003533196</v>
      </c>
    </row>
    <row r="54" spans="1:5" ht="12.75">
      <c r="A54" s="39">
        <f t="shared" si="1"/>
        <v>2016</v>
      </c>
      <c r="B54" s="39">
        <f t="shared" si="2"/>
        <v>5</v>
      </c>
      <c r="C54" s="10">
        <f t="shared" si="0"/>
        <v>2344.1702964999713</v>
      </c>
      <c r="D54" s="10">
        <f t="shared" si="3"/>
        <v>1197.4732895235545</v>
      </c>
      <c r="E54" s="10">
        <f t="shared" si="4"/>
        <v>413575.58302835556</v>
      </c>
    </row>
    <row r="55" spans="1:5" ht="12.75">
      <c r="A55" s="39">
        <f t="shared" si="1"/>
        <v>2016</v>
      </c>
      <c r="B55" s="39">
        <f t="shared" si="2"/>
        <v>6</v>
      </c>
      <c r="C55" s="10">
        <f t="shared" si="0"/>
        <v>2344.1702964999713</v>
      </c>
      <c r="D55" s="10">
        <f t="shared" si="3"/>
        <v>1194.162305033129</v>
      </c>
      <c r="E55" s="10">
        <f t="shared" si="4"/>
        <v>412425.5750368887</v>
      </c>
    </row>
    <row r="56" spans="1:5" ht="12.75">
      <c r="A56" s="39">
        <f t="shared" si="1"/>
        <v>2016</v>
      </c>
      <c r="B56" s="39">
        <f t="shared" si="2"/>
        <v>7</v>
      </c>
      <c r="C56" s="10">
        <f t="shared" si="0"/>
        <v>2344.1702964999713</v>
      </c>
      <c r="D56" s="10">
        <f t="shared" si="3"/>
        <v>1190.8417603727291</v>
      </c>
      <c r="E56" s="10">
        <f t="shared" si="4"/>
        <v>411272.2465007615</v>
      </c>
    </row>
    <row r="57" spans="1:5" ht="12.75">
      <c r="A57" s="39">
        <f t="shared" si="1"/>
        <v>2016</v>
      </c>
      <c r="B57" s="39">
        <f t="shared" si="2"/>
        <v>8</v>
      </c>
      <c r="C57" s="10">
        <f t="shared" si="0"/>
        <v>2344.1702964999713</v>
      </c>
      <c r="D57" s="10">
        <f t="shared" si="3"/>
        <v>1187.511627938224</v>
      </c>
      <c r="E57" s="10">
        <f t="shared" si="4"/>
        <v>410115.58783219976</v>
      </c>
    </row>
    <row r="58" spans="1:5" ht="12.75">
      <c r="A58" s="39">
        <f t="shared" si="1"/>
        <v>2016</v>
      </c>
      <c r="B58" s="39">
        <f t="shared" si="2"/>
        <v>9</v>
      </c>
      <c r="C58" s="10">
        <f t="shared" si="0"/>
        <v>2344.1702964999713</v>
      </c>
      <c r="D58" s="10">
        <f t="shared" si="3"/>
        <v>1184.1718800457775</v>
      </c>
      <c r="E58" s="10">
        <f t="shared" si="4"/>
        <v>408955.5894157456</v>
      </c>
    </row>
    <row r="59" spans="1:5" ht="12.75">
      <c r="A59" s="39">
        <f t="shared" si="1"/>
        <v>2016</v>
      </c>
      <c r="B59" s="39">
        <f t="shared" si="2"/>
        <v>10</v>
      </c>
      <c r="C59" s="10">
        <f t="shared" si="0"/>
        <v>2344.1702964999713</v>
      </c>
      <c r="D59" s="10">
        <f t="shared" si="3"/>
        <v>1180.82248893162</v>
      </c>
      <c r="E59" s="10">
        <f t="shared" si="4"/>
        <v>407792.24160817725</v>
      </c>
    </row>
    <row r="60" spans="1:5" ht="12.75">
      <c r="A60" s="39">
        <f t="shared" si="1"/>
        <v>2016</v>
      </c>
      <c r="B60" s="39">
        <f t="shared" si="2"/>
        <v>11</v>
      </c>
      <c r="C60" s="10">
        <f t="shared" si="0"/>
        <v>2344.1702964999713</v>
      </c>
      <c r="D60" s="10">
        <f t="shared" si="3"/>
        <v>1177.4634267518159</v>
      </c>
      <c r="E60" s="10">
        <f t="shared" si="4"/>
        <v>406625.5347384291</v>
      </c>
    </row>
    <row r="61" spans="1:5" ht="12.75">
      <c r="A61" s="39">
        <f t="shared" si="1"/>
        <v>2016</v>
      </c>
      <c r="B61" s="39">
        <f t="shared" si="2"/>
        <v>12</v>
      </c>
      <c r="C61" s="10">
        <f t="shared" si="0"/>
        <v>2344.1702964999713</v>
      </c>
      <c r="D61" s="10">
        <f t="shared" si="3"/>
        <v>1174.0946655820323</v>
      </c>
      <c r="E61" s="10">
        <f t="shared" si="4"/>
        <v>405455.4591075112</v>
      </c>
    </row>
    <row r="62" spans="1:5" ht="12.75">
      <c r="A62" s="39">
        <f t="shared" si="1"/>
        <v>2017</v>
      </c>
      <c r="B62" s="39">
        <f t="shared" si="2"/>
        <v>1</v>
      </c>
      <c r="C62" s="10">
        <f t="shared" si="0"/>
        <v>2556.01211814809</v>
      </c>
      <c r="D62" s="10">
        <f t="shared" si="3"/>
        <v>1506.3966039345753</v>
      </c>
      <c r="E62" s="10">
        <f t="shared" si="4"/>
        <v>404405.8435932977</v>
      </c>
    </row>
    <row r="63" spans="1:5" ht="12.75">
      <c r="A63" s="39">
        <f t="shared" si="1"/>
        <v>2017</v>
      </c>
      <c r="B63" s="39">
        <f t="shared" si="2"/>
        <v>2</v>
      </c>
      <c r="C63" s="10">
        <f t="shared" si="0"/>
        <v>2556.01211814809</v>
      </c>
      <c r="D63" s="10">
        <f t="shared" si="3"/>
        <v>1502.4969468685965</v>
      </c>
      <c r="E63" s="10">
        <f t="shared" si="4"/>
        <v>403352.3284220182</v>
      </c>
    </row>
    <row r="64" spans="1:5" ht="12.75">
      <c r="A64" s="39">
        <f t="shared" si="1"/>
        <v>2017</v>
      </c>
      <c r="B64" s="39">
        <f t="shared" si="2"/>
        <v>3</v>
      </c>
      <c r="C64" s="10">
        <f t="shared" si="0"/>
        <v>2556.01211814809</v>
      </c>
      <c r="D64" s="10">
        <f t="shared" si="3"/>
        <v>1498.5828013303853</v>
      </c>
      <c r="E64" s="10">
        <f t="shared" si="4"/>
        <v>402294.8991052005</v>
      </c>
    </row>
    <row r="65" spans="1:5" ht="12.75">
      <c r="A65" s="39">
        <f t="shared" si="1"/>
        <v>2017</v>
      </c>
      <c r="B65" s="39">
        <f t="shared" si="2"/>
        <v>4</v>
      </c>
      <c r="C65" s="10">
        <f t="shared" si="0"/>
        <v>2556.01211814809</v>
      </c>
      <c r="D65" s="10">
        <f t="shared" si="3"/>
        <v>1494.6541134906374</v>
      </c>
      <c r="E65" s="10">
        <f t="shared" si="4"/>
        <v>401233.54110054305</v>
      </c>
    </row>
    <row r="66" spans="1:5" ht="12.75">
      <c r="A66" s="39">
        <f t="shared" si="1"/>
        <v>2017</v>
      </c>
      <c r="B66" s="39">
        <f t="shared" si="2"/>
        <v>5</v>
      </c>
      <c r="C66" s="10">
        <f aca="true" t="shared" si="5" ref="C66:C129">IF((((A66-$A$2)+1)&gt;10),$I$15,IF((((A66-$A$2)+1)&gt;5),$I$14,$I$13))</f>
        <v>2556.01211814809</v>
      </c>
      <c r="D66" s="10">
        <f t="shared" si="3"/>
        <v>1490.7108293200554</v>
      </c>
      <c r="E66" s="10">
        <f t="shared" si="4"/>
        <v>400168.23981171503</v>
      </c>
    </row>
    <row r="67" spans="1:5" ht="12.75">
      <c r="A67" s="39">
        <f aca="true" t="shared" si="6" ref="A67:A130">IF((B67=1),(A66+1),A66)</f>
        <v>2017</v>
      </c>
      <c r="B67" s="39">
        <f aca="true" t="shared" si="7" ref="B67:B130">IF((B66=12),1,(B66+1))</f>
        <v>6</v>
      </c>
      <c r="C67" s="10">
        <f t="shared" si="5"/>
        <v>2556.01211814809</v>
      </c>
      <c r="D67" s="10">
        <f aca="true" t="shared" si="8" ref="D67:D130">IF((((A67-$A$2)+1)&gt;10),$H$15,IF((((A67-$A$2)+1)&gt;5),$H$14,$H$13))*E66</f>
        <v>1486.7528945886054</v>
      </c>
      <c r="E67" s="10">
        <f aca="true" t="shared" si="9" ref="E67:E130">MAX((E66-(C67-D67)),0)</f>
        <v>399098.98058815557</v>
      </c>
    </row>
    <row r="68" spans="1:5" ht="12.75">
      <c r="A68" s="39">
        <f t="shared" si="6"/>
        <v>2017</v>
      </c>
      <c r="B68" s="39">
        <f t="shared" si="7"/>
        <v>7</v>
      </c>
      <c r="C68" s="10">
        <f t="shared" si="5"/>
        <v>2556.01211814809</v>
      </c>
      <c r="D68" s="10">
        <f t="shared" si="8"/>
        <v>1482.7802548647717</v>
      </c>
      <c r="E68" s="10">
        <f t="shared" si="9"/>
        <v>398025.74872487225</v>
      </c>
    </row>
    <row r="69" spans="1:5" ht="12.75">
      <c r="A69" s="39">
        <f t="shared" si="6"/>
        <v>2017</v>
      </c>
      <c r="B69" s="39">
        <f t="shared" si="7"/>
        <v>8</v>
      </c>
      <c r="C69" s="10">
        <f t="shared" si="5"/>
        <v>2556.01211814809</v>
      </c>
      <c r="D69" s="10">
        <f t="shared" si="8"/>
        <v>1478.7928555148085</v>
      </c>
      <c r="E69" s="10">
        <f t="shared" si="9"/>
        <v>396948.52946223895</v>
      </c>
    </row>
    <row r="70" spans="1:5" ht="12.75">
      <c r="A70" s="39">
        <f t="shared" si="6"/>
        <v>2017</v>
      </c>
      <c r="B70" s="39">
        <f t="shared" si="7"/>
        <v>9</v>
      </c>
      <c r="C70" s="10">
        <f t="shared" si="5"/>
        <v>2556.01211814809</v>
      </c>
      <c r="D70" s="10">
        <f t="shared" si="8"/>
        <v>1474.7906417019876</v>
      </c>
      <c r="E70" s="10">
        <f t="shared" si="9"/>
        <v>395867.30798579287</v>
      </c>
    </row>
    <row r="71" spans="1:5" ht="12.75">
      <c r="A71" s="39">
        <f t="shared" si="6"/>
        <v>2017</v>
      </c>
      <c r="B71" s="39">
        <f t="shared" si="7"/>
        <v>10</v>
      </c>
      <c r="C71" s="10">
        <f t="shared" si="5"/>
        <v>2556.01211814809</v>
      </c>
      <c r="D71" s="10">
        <f t="shared" si="8"/>
        <v>1470.7735583858455</v>
      </c>
      <c r="E71" s="10">
        <f t="shared" si="9"/>
        <v>394782.0694260306</v>
      </c>
    </row>
    <row r="72" spans="1:5" ht="12.75">
      <c r="A72" s="39">
        <f t="shared" si="6"/>
        <v>2017</v>
      </c>
      <c r="B72" s="39">
        <f t="shared" si="7"/>
        <v>11</v>
      </c>
      <c r="C72" s="10">
        <f t="shared" si="5"/>
        <v>2556.01211814809</v>
      </c>
      <c r="D72" s="10">
        <f t="shared" si="8"/>
        <v>1466.7415503214252</v>
      </c>
      <c r="E72" s="10">
        <f t="shared" si="9"/>
        <v>393692.7988582039</v>
      </c>
    </row>
    <row r="73" spans="1:5" ht="12.75">
      <c r="A73" s="39">
        <f t="shared" si="6"/>
        <v>2017</v>
      </c>
      <c r="B73" s="39">
        <f t="shared" si="7"/>
        <v>12</v>
      </c>
      <c r="C73" s="10">
        <f t="shared" si="5"/>
        <v>2556.01211814809</v>
      </c>
      <c r="D73" s="10">
        <f t="shared" si="8"/>
        <v>1462.6945620585172</v>
      </c>
      <c r="E73" s="10">
        <f t="shared" si="9"/>
        <v>392599.4813021144</v>
      </c>
    </row>
    <row r="74" spans="1:5" ht="12.75">
      <c r="A74" s="39">
        <f t="shared" si="6"/>
        <v>2018</v>
      </c>
      <c r="B74" s="39">
        <f t="shared" si="7"/>
        <v>1</v>
      </c>
      <c r="C74" s="10">
        <f t="shared" si="5"/>
        <v>2556.01211814809</v>
      </c>
      <c r="D74" s="10">
        <f t="shared" si="8"/>
        <v>1458.6325379408975</v>
      </c>
      <c r="E74" s="10">
        <f t="shared" si="9"/>
        <v>391502.1017219072</v>
      </c>
    </row>
    <row r="75" spans="1:5" ht="12.75">
      <c r="A75" s="39">
        <f t="shared" si="6"/>
        <v>2018</v>
      </c>
      <c r="B75" s="39">
        <f t="shared" si="7"/>
        <v>2</v>
      </c>
      <c r="C75" s="10">
        <f t="shared" si="5"/>
        <v>2556.01211814809</v>
      </c>
      <c r="D75" s="10">
        <f t="shared" si="8"/>
        <v>1454.5554221055602</v>
      </c>
      <c r="E75" s="10">
        <f t="shared" si="9"/>
        <v>390400.64502586465</v>
      </c>
    </row>
    <row r="76" spans="1:5" ht="12.75">
      <c r="A76" s="39">
        <f t="shared" si="6"/>
        <v>2018</v>
      </c>
      <c r="B76" s="39">
        <f t="shared" si="7"/>
        <v>3</v>
      </c>
      <c r="C76" s="10">
        <f t="shared" si="5"/>
        <v>2556.01211814809</v>
      </c>
      <c r="D76" s="10">
        <f t="shared" si="8"/>
        <v>1450.4631584819508</v>
      </c>
      <c r="E76" s="10">
        <f t="shared" si="9"/>
        <v>389295.0960661985</v>
      </c>
    </row>
    <row r="77" spans="1:5" ht="12.75">
      <c r="A77" s="39">
        <f t="shared" si="6"/>
        <v>2018</v>
      </c>
      <c r="B77" s="39">
        <f t="shared" si="7"/>
        <v>4</v>
      </c>
      <c r="C77" s="10">
        <f t="shared" si="5"/>
        <v>2556.01211814809</v>
      </c>
      <c r="D77" s="10">
        <f t="shared" si="8"/>
        <v>1446.3556907911952</v>
      </c>
      <c r="E77" s="10">
        <f t="shared" si="9"/>
        <v>388185.4396388416</v>
      </c>
    </row>
    <row r="78" spans="1:5" ht="12.75">
      <c r="A78" s="39">
        <f t="shared" si="6"/>
        <v>2018</v>
      </c>
      <c r="B78" s="39">
        <f t="shared" si="7"/>
        <v>5</v>
      </c>
      <c r="C78" s="10">
        <f t="shared" si="5"/>
        <v>2556.01211814809</v>
      </c>
      <c r="D78" s="10">
        <f t="shared" si="8"/>
        <v>1442.2329625453256</v>
      </c>
      <c r="E78" s="10">
        <f t="shared" si="9"/>
        <v>387071.66048323887</v>
      </c>
    </row>
    <row r="79" spans="1:5" ht="12.75">
      <c r="A79" s="39">
        <f t="shared" si="6"/>
        <v>2018</v>
      </c>
      <c r="B79" s="39">
        <f t="shared" si="7"/>
        <v>6</v>
      </c>
      <c r="C79" s="10">
        <f t="shared" si="5"/>
        <v>2556.01211814809</v>
      </c>
      <c r="D79" s="10">
        <f t="shared" si="8"/>
        <v>1438.0949170465026</v>
      </c>
      <c r="E79" s="10">
        <f t="shared" si="9"/>
        <v>385953.74328213726</v>
      </c>
    </row>
    <row r="80" spans="1:5" ht="12.75">
      <c r="A80" s="39">
        <f t="shared" si="6"/>
        <v>2018</v>
      </c>
      <c r="B80" s="39">
        <f t="shared" si="7"/>
        <v>7</v>
      </c>
      <c r="C80" s="10">
        <f t="shared" si="5"/>
        <v>2556.01211814809</v>
      </c>
      <c r="D80" s="10">
        <f t="shared" si="8"/>
        <v>1433.941497386236</v>
      </c>
      <c r="E80" s="10">
        <f t="shared" si="9"/>
        <v>384831.6726613754</v>
      </c>
    </row>
    <row r="81" spans="1:5" ht="12.75">
      <c r="A81" s="39">
        <f t="shared" si="6"/>
        <v>2018</v>
      </c>
      <c r="B81" s="39">
        <f t="shared" si="7"/>
        <v>8</v>
      </c>
      <c r="C81" s="10">
        <f t="shared" si="5"/>
        <v>2556.01211814809</v>
      </c>
      <c r="D81" s="10">
        <f t="shared" si="8"/>
        <v>1429.7726464446037</v>
      </c>
      <c r="E81" s="10">
        <f t="shared" si="9"/>
        <v>383705.43318967195</v>
      </c>
    </row>
    <row r="82" spans="1:5" ht="12.75">
      <c r="A82" s="39">
        <f t="shared" si="6"/>
        <v>2018</v>
      </c>
      <c r="B82" s="39">
        <f t="shared" si="7"/>
        <v>9</v>
      </c>
      <c r="C82" s="10">
        <f t="shared" si="5"/>
        <v>2556.01211814809</v>
      </c>
      <c r="D82" s="10">
        <f t="shared" si="8"/>
        <v>1425.5883068894632</v>
      </c>
      <c r="E82" s="10">
        <f t="shared" si="9"/>
        <v>382575.0093784133</v>
      </c>
    </row>
    <row r="83" spans="1:5" ht="12.75">
      <c r="A83" s="39">
        <f t="shared" si="6"/>
        <v>2018</v>
      </c>
      <c r="B83" s="39">
        <f t="shared" si="7"/>
        <v>10</v>
      </c>
      <c r="C83" s="10">
        <f t="shared" si="5"/>
        <v>2556.01211814809</v>
      </c>
      <c r="D83" s="10">
        <f t="shared" si="8"/>
        <v>1421.3884211756658</v>
      </c>
      <c r="E83" s="10">
        <f t="shared" si="9"/>
        <v>381440.3856814409</v>
      </c>
    </row>
    <row r="84" spans="1:5" ht="12.75">
      <c r="A84" s="39">
        <f t="shared" si="6"/>
        <v>2018</v>
      </c>
      <c r="B84" s="39">
        <f t="shared" si="7"/>
        <v>11</v>
      </c>
      <c r="C84" s="10">
        <f t="shared" si="5"/>
        <v>2556.01211814809</v>
      </c>
      <c r="D84" s="10">
        <f t="shared" si="8"/>
        <v>1417.172931544264</v>
      </c>
      <c r="E84" s="10">
        <f t="shared" si="9"/>
        <v>380301.54649483704</v>
      </c>
    </row>
    <row r="85" spans="1:5" ht="12.75">
      <c r="A85" s="39">
        <f t="shared" si="6"/>
        <v>2018</v>
      </c>
      <c r="B85" s="39">
        <f t="shared" si="7"/>
        <v>12</v>
      </c>
      <c r="C85" s="10">
        <f t="shared" si="5"/>
        <v>2556.01211814809</v>
      </c>
      <c r="D85" s="10">
        <f t="shared" si="8"/>
        <v>1412.9417800217172</v>
      </c>
      <c r="E85" s="10">
        <f t="shared" si="9"/>
        <v>379158.47615671065</v>
      </c>
    </row>
    <row r="86" spans="1:5" ht="12.75">
      <c r="A86" s="39">
        <f t="shared" si="6"/>
        <v>2019</v>
      </c>
      <c r="B86" s="39">
        <f t="shared" si="7"/>
        <v>1</v>
      </c>
      <c r="C86" s="10">
        <f t="shared" si="5"/>
        <v>2556.01211814809</v>
      </c>
      <c r="D86" s="10">
        <f t="shared" si="8"/>
        <v>1408.6949084190949</v>
      </c>
      <c r="E86" s="10">
        <f t="shared" si="9"/>
        <v>378011.15894698165</v>
      </c>
    </row>
    <row r="87" spans="1:5" ht="12.75">
      <c r="A87" s="39">
        <f t="shared" si="6"/>
        <v>2019</v>
      </c>
      <c r="B87" s="39">
        <f t="shared" si="7"/>
        <v>2</v>
      </c>
      <c r="C87" s="10">
        <f t="shared" si="5"/>
        <v>2556.01211814809</v>
      </c>
      <c r="D87" s="10">
        <f t="shared" si="8"/>
        <v>1404.4322583312755</v>
      </c>
      <c r="E87" s="10">
        <f t="shared" si="9"/>
        <v>376859.57908716484</v>
      </c>
    </row>
    <row r="88" spans="1:5" ht="12.75">
      <c r="A88" s="39">
        <f t="shared" si="6"/>
        <v>2019</v>
      </c>
      <c r="B88" s="39">
        <f t="shared" si="7"/>
        <v>3</v>
      </c>
      <c r="C88" s="10">
        <f t="shared" si="5"/>
        <v>2556.01211814809</v>
      </c>
      <c r="D88" s="10">
        <f t="shared" si="8"/>
        <v>1400.1537711361443</v>
      </c>
      <c r="E88" s="10">
        <f t="shared" si="9"/>
        <v>375703.7207401529</v>
      </c>
    </row>
    <row r="89" spans="1:5" ht="12.75">
      <c r="A89" s="39">
        <f t="shared" si="6"/>
        <v>2019</v>
      </c>
      <c r="B89" s="39">
        <f t="shared" si="7"/>
        <v>4</v>
      </c>
      <c r="C89" s="10">
        <f t="shared" si="5"/>
        <v>2556.01211814809</v>
      </c>
      <c r="D89" s="10">
        <f t="shared" si="8"/>
        <v>1395.8593879937864</v>
      </c>
      <c r="E89" s="10">
        <f t="shared" si="9"/>
        <v>374543.5680099986</v>
      </c>
    </row>
    <row r="90" spans="1:5" ht="12.75">
      <c r="A90" s="39">
        <f t="shared" si="6"/>
        <v>2019</v>
      </c>
      <c r="B90" s="39">
        <f t="shared" si="7"/>
        <v>5</v>
      </c>
      <c r="C90" s="10">
        <f t="shared" si="5"/>
        <v>2556.01211814809</v>
      </c>
      <c r="D90" s="10">
        <f t="shared" si="8"/>
        <v>1391.5490498456782</v>
      </c>
      <c r="E90" s="10">
        <f t="shared" si="9"/>
        <v>373379.10494169616</v>
      </c>
    </row>
    <row r="91" spans="1:5" ht="12.75">
      <c r="A91" s="39">
        <f t="shared" si="6"/>
        <v>2019</v>
      </c>
      <c r="B91" s="39">
        <f t="shared" si="7"/>
        <v>6</v>
      </c>
      <c r="C91" s="10">
        <f t="shared" si="5"/>
        <v>2556.01211814809</v>
      </c>
      <c r="D91" s="10">
        <f t="shared" si="8"/>
        <v>1387.2226974138741</v>
      </c>
      <c r="E91" s="10">
        <f t="shared" si="9"/>
        <v>372210.31552096194</v>
      </c>
    </row>
    <row r="92" spans="1:5" ht="12.75">
      <c r="A92" s="39">
        <f t="shared" si="6"/>
        <v>2019</v>
      </c>
      <c r="B92" s="39">
        <f t="shared" si="7"/>
        <v>7</v>
      </c>
      <c r="C92" s="10">
        <f t="shared" si="5"/>
        <v>2556.01211814809</v>
      </c>
      <c r="D92" s="10">
        <f t="shared" si="8"/>
        <v>1382.8802712001927</v>
      </c>
      <c r="E92" s="10">
        <f t="shared" si="9"/>
        <v>371037.18367401406</v>
      </c>
    </row>
    <row r="93" spans="1:5" ht="12.75">
      <c r="A93" s="39">
        <f t="shared" si="6"/>
        <v>2019</v>
      </c>
      <c r="B93" s="39">
        <f t="shared" si="7"/>
        <v>8</v>
      </c>
      <c r="C93" s="10">
        <f t="shared" si="5"/>
        <v>2556.01211814809</v>
      </c>
      <c r="D93" s="10">
        <f t="shared" si="8"/>
        <v>1378.5217114853976</v>
      </c>
      <c r="E93" s="10">
        <f t="shared" si="9"/>
        <v>369859.69326735137</v>
      </c>
    </row>
    <row r="94" spans="1:5" ht="12.75">
      <c r="A94" s="39">
        <f t="shared" si="6"/>
        <v>2019</v>
      </c>
      <c r="B94" s="39">
        <f t="shared" si="7"/>
        <v>9</v>
      </c>
      <c r="C94" s="10">
        <f t="shared" si="5"/>
        <v>2556.01211814809</v>
      </c>
      <c r="D94" s="10">
        <f t="shared" si="8"/>
        <v>1374.146958328376</v>
      </c>
      <c r="E94" s="10">
        <f t="shared" si="9"/>
        <v>368677.82810753165</v>
      </c>
    </row>
    <row r="95" spans="1:5" ht="12.75">
      <c r="A95" s="39">
        <f t="shared" si="6"/>
        <v>2019</v>
      </c>
      <c r="B95" s="39">
        <f t="shared" si="7"/>
        <v>10</v>
      </c>
      <c r="C95" s="10">
        <f t="shared" si="5"/>
        <v>2556.01211814809</v>
      </c>
      <c r="D95" s="10">
        <f t="shared" si="8"/>
        <v>1369.7559515653152</v>
      </c>
      <c r="E95" s="10">
        <f t="shared" si="9"/>
        <v>367491.5719409489</v>
      </c>
    </row>
    <row r="96" spans="1:5" ht="12.75">
      <c r="A96" s="39">
        <f t="shared" si="6"/>
        <v>2019</v>
      </c>
      <c r="B96" s="39">
        <f t="shared" si="7"/>
        <v>11</v>
      </c>
      <c r="C96" s="10">
        <f t="shared" si="5"/>
        <v>2556.01211814809</v>
      </c>
      <c r="D96" s="10">
        <f t="shared" si="8"/>
        <v>1365.3486308088745</v>
      </c>
      <c r="E96" s="10">
        <f t="shared" si="9"/>
        <v>366300.9084536097</v>
      </c>
    </row>
    <row r="97" spans="1:5" ht="12.75">
      <c r="A97" s="39">
        <f t="shared" si="6"/>
        <v>2019</v>
      </c>
      <c r="B97" s="39">
        <f t="shared" si="7"/>
        <v>12</v>
      </c>
      <c r="C97" s="10">
        <f t="shared" si="5"/>
        <v>2556.01211814809</v>
      </c>
      <c r="D97" s="10">
        <f t="shared" si="8"/>
        <v>1360.924935447355</v>
      </c>
      <c r="E97" s="10">
        <f t="shared" si="9"/>
        <v>365105.8212709089</v>
      </c>
    </row>
    <row r="98" spans="1:5" ht="12.75">
      <c r="A98" s="39">
        <f t="shared" si="6"/>
        <v>2020</v>
      </c>
      <c r="B98" s="39">
        <f t="shared" si="7"/>
        <v>1</v>
      </c>
      <c r="C98" s="10">
        <f t="shared" si="5"/>
        <v>2556.01211814809</v>
      </c>
      <c r="D98" s="10">
        <f t="shared" si="8"/>
        <v>1356.4848046438656</v>
      </c>
      <c r="E98" s="10">
        <f t="shared" si="9"/>
        <v>363906.2939574047</v>
      </c>
    </row>
    <row r="99" spans="1:5" ht="12.75">
      <c r="A99" s="39">
        <f t="shared" si="6"/>
        <v>2020</v>
      </c>
      <c r="B99" s="39">
        <f t="shared" si="7"/>
        <v>2</v>
      </c>
      <c r="C99" s="10">
        <f t="shared" si="5"/>
        <v>2556.01211814809</v>
      </c>
      <c r="D99" s="10">
        <f t="shared" si="8"/>
        <v>1352.0281773354875</v>
      </c>
      <c r="E99" s="10">
        <f t="shared" si="9"/>
        <v>362702.3100165921</v>
      </c>
    </row>
    <row r="100" spans="1:5" ht="12.75">
      <c r="A100" s="39">
        <f t="shared" si="6"/>
        <v>2020</v>
      </c>
      <c r="B100" s="39">
        <f t="shared" si="7"/>
        <v>3</v>
      </c>
      <c r="C100" s="10">
        <f t="shared" si="5"/>
        <v>2556.01211814809</v>
      </c>
      <c r="D100" s="10">
        <f t="shared" si="8"/>
        <v>1347.5549922324328</v>
      </c>
      <c r="E100" s="10">
        <f t="shared" si="9"/>
        <v>361493.8528906764</v>
      </c>
    </row>
    <row r="101" spans="1:5" ht="12.75">
      <c r="A101" s="39">
        <f t="shared" si="6"/>
        <v>2020</v>
      </c>
      <c r="B101" s="39">
        <f t="shared" si="7"/>
        <v>4</v>
      </c>
      <c r="C101" s="10">
        <f t="shared" si="5"/>
        <v>2556.01211814809</v>
      </c>
      <c r="D101" s="10">
        <f t="shared" si="8"/>
        <v>1343.0651878172032</v>
      </c>
      <c r="E101" s="10">
        <f t="shared" si="9"/>
        <v>360280.9059603455</v>
      </c>
    </row>
    <row r="102" spans="1:5" ht="12.75">
      <c r="A102" s="39">
        <f t="shared" si="6"/>
        <v>2020</v>
      </c>
      <c r="B102" s="39">
        <f t="shared" si="7"/>
        <v>5</v>
      </c>
      <c r="C102" s="10">
        <f t="shared" si="5"/>
        <v>2556.01211814809</v>
      </c>
      <c r="D102" s="10">
        <f t="shared" si="8"/>
        <v>1338.5587023437424</v>
      </c>
      <c r="E102" s="10">
        <f t="shared" si="9"/>
        <v>359063.45254454116</v>
      </c>
    </row>
    <row r="103" spans="1:5" ht="12.75">
      <c r="A103" s="39">
        <f t="shared" si="6"/>
        <v>2020</v>
      </c>
      <c r="B103" s="39">
        <f t="shared" si="7"/>
        <v>6</v>
      </c>
      <c r="C103" s="10">
        <f t="shared" si="5"/>
        <v>2556.01211814809</v>
      </c>
      <c r="D103" s="10">
        <f t="shared" si="8"/>
        <v>1334.0354738365886</v>
      </c>
      <c r="E103" s="10">
        <f t="shared" si="9"/>
        <v>357841.47590022965</v>
      </c>
    </row>
    <row r="104" spans="1:5" ht="12.75">
      <c r="A104" s="39">
        <f t="shared" si="6"/>
        <v>2020</v>
      </c>
      <c r="B104" s="39">
        <f t="shared" si="7"/>
        <v>7</v>
      </c>
      <c r="C104" s="10">
        <f t="shared" si="5"/>
        <v>2556.01211814809</v>
      </c>
      <c r="D104" s="10">
        <f t="shared" si="8"/>
        <v>1329.4954400900208</v>
      </c>
      <c r="E104" s="10">
        <f t="shared" si="9"/>
        <v>356614.9592221716</v>
      </c>
    </row>
    <row r="105" spans="1:5" ht="12.75">
      <c r="A105" s="39">
        <f t="shared" si="6"/>
        <v>2020</v>
      </c>
      <c r="B105" s="39">
        <f t="shared" si="7"/>
        <v>8</v>
      </c>
      <c r="C105" s="10">
        <f t="shared" si="5"/>
        <v>2556.01211814809</v>
      </c>
      <c r="D105" s="10">
        <f t="shared" si="8"/>
        <v>1324.9385386672043</v>
      </c>
      <c r="E105" s="10">
        <f t="shared" si="9"/>
        <v>355383.8856426907</v>
      </c>
    </row>
    <row r="106" spans="1:5" ht="12.75">
      <c r="A106" s="39">
        <f t="shared" si="6"/>
        <v>2020</v>
      </c>
      <c r="B106" s="39">
        <f t="shared" si="7"/>
        <v>9</v>
      </c>
      <c r="C106" s="10">
        <f t="shared" si="5"/>
        <v>2556.01211814809</v>
      </c>
      <c r="D106" s="10">
        <f t="shared" si="8"/>
        <v>1320.364706899331</v>
      </c>
      <c r="E106" s="10">
        <f t="shared" si="9"/>
        <v>354148.23823144194</v>
      </c>
    </row>
    <row r="107" spans="1:5" ht="12.75">
      <c r="A107" s="39">
        <f t="shared" si="6"/>
        <v>2020</v>
      </c>
      <c r="B107" s="39">
        <f t="shared" si="7"/>
        <v>10</v>
      </c>
      <c r="C107" s="10">
        <f t="shared" si="5"/>
        <v>2556.01211814809</v>
      </c>
      <c r="D107" s="10">
        <f t="shared" si="8"/>
        <v>1315.7738818847586</v>
      </c>
      <c r="E107" s="10">
        <f t="shared" si="9"/>
        <v>352907.9999951786</v>
      </c>
    </row>
    <row r="108" spans="1:5" ht="12.75">
      <c r="A108" s="39">
        <f t="shared" si="6"/>
        <v>2020</v>
      </c>
      <c r="B108" s="39">
        <f t="shared" si="7"/>
        <v>11</v>
      </c>
      <c r="C108" s="10">
        <f t="shared" si="5"/>
        <v>2556.01211814809</v>
      </c>
      <c r="D108" s="10">
        <f t="shared" si="8"/>
        <v>1311.166000488145</v>
      </c>
      <c r="E108" s="10">
        <f t="shared" si="9"/>
        <v>351663.15387751866</v>
      </c>
    </row>
    <row r="109" spans="1:5" ht="12.75">
      <c r="A109" s="39">
        <f t="shared" si="6"/>
        <v>2020</v>
      </c>
      <c r="B109" s="39">
        <f t="shared" si="7"/>
        <v>12</v>
      </c>
      <c r="C109" s="10">
        <f t="shared" si="5"/>
        <v>2556.01211814809</v>
      </c>
      <c r="D109" s="10">
        <f t="shared" si="8"/>
        <v>1306.5409993395804</v>
      </c>
      <c r="E109" s="10">
        <f t="shared" si="9"/>
        <v>350413.6827587102</v>
      </c>
    </row>
    <row r="110" spans="1:5" ht="12.75">
      <c r="A110" s="39">
        <f t="shared" si="6"/>
        <v>2021</v>
      </c>
      <c r="B110" s="39">
        <f t="shared" si="7"/>
        <v>1</v>
      </c>
      <c r="C110" s="10">
        <f t="shared" si="5"/>
        <v>2556.01211814809</v>
      </c>
      <c r="D110" s="10">
        <f t="shared" si="8"/>
        <v>1301.898814833715</v>
      </c>
      <c r="E110" s="10">
        <f t="shared" si="9"/>
        <v>349159.5694553958</v>
      </c>
    </row>
    <row r="111" spans="1:5" ht="12.75">
      <c r="A111" s="39">
        <f t="shared" si="6"/>
        <v>2021</v>
      </c>
      <c r="B111" s="39">
        <f t="shared" si="7"/>
        <v>2</v>
      </c>
      <c r="C111" s="10">
        <f t="shared" si="5"/>
        <v>2556.01211814809</v>
      </c>
      <c r="D111" s="10">
        <f t="shared" si="8"/>
        <v>1297.239383128885</v>
      </c>
      <c r="E111" s="10">
        <f t="shared" si="9"/>
        <v>347900.7967203766</v>
      </c>
    </row>
    <row r="112" spans="1:5" ht="12.75">
      <c r="A112" s="39">
        <f t="shared" si="6"/>
        <v>2021</v>
      </c>
      <c r="B112" s="39">
        <f t="shared" si="7"/>
        <v>3</v>
      </c>
      <c r="C112" s="10">
        <f t="shared" si="5"/>
        <v>2556.01211814809</v>
      </c>
      <c r="D112" s="10">
        <f t="shared" si="8"/>
        <v>1292.5626401462346</v>
      </c>
      <c r="E112" s="10">
        <f t="shared" si="9"/>
        <v>346637.34724237473</v>
      </c>
    </row>
    <row r="113" spans="1:5" ht="12.75">
      <c r="A113" s="39">
        <f t="shared" si="6"/>
        <v>2021</v>
      </c>
      <c r="B113" s="39">
        <f t="shared" si="7"/>
        <v>4</v>
      </c>
      <c r="C113" s="10">
        <f t="shared" si="5"/>
        <v>2556.01211814809</v>
      </c>
      <c r="D113" s="10">
        <f t="shared" si="8"/>
        <v>1287.8685215688342</v>
      </c>
      <c r="E113" s="10">
        <f t="shared" si="9"/>
        <v>345369.20364579547</v>
      </c>
    </row>
    <row r="114" spans="1:5" ht="12.75">
      <c r="A114" s="39">
        <f t="shared" si="6"/>
        <v>2021</v>
      </c>
      <c r="B114" s="39">
        <f t="shared" si="7"/>
        <v>5</v>
      </c>
      <c r="C114" s="10">
        <f t="shared" si="5"/>
        <v>2556.01211814809</v>
      </c>
      <c r="D114" s="10">
        <f t="shared" si="8"/>
        <v>1283.156962840797</v>
      </c>
      <c r="E114" s="10">
        <f t="shared" si="9"/>
        <v>344096.3484904882</v>
      </c>
    </row>
    <row r="115" spans="1:5" ht="12.75">
      <c r="A115" s="39">
        <f t="shared" si="6"/>
        <v>2021</v>
      </c>
      <c r="B115" s="39">
        <f t="shared" si="7"/>
        <v>6</v>
      </c>
      <c r="C115" s="10">
        <f t="shared" si="5"/>
        <v>2556.01211814809</v>
      </c>
      <c r="D115" s="10">
        <f t="shared" si="8"/>
        <v>1278.4278991663896</v>
      </c>
      <c r="E115" s="10">
        <f t="shared" si="9"/>
        <v>342818.7642715065</v>
      </c>
    </row>
    <row r="116" spans="1:5" ht="12.75">
      <c r="A116" s="39">
        <f t="shared" si="6"/>
        <v>2021</v>
      </c>
      <c r="B116" s="39">
        <f t="shared" si="7"/>
        <v>7</v>
      </c>
      <c r="C116" s="10">
        <f t="shared" si="5"/>
        <v>2556.01211814809</v>
      </c>
      <c r="D116" s="10">
        <f t="shared" si="8"/>
        <v>1273.6812655091421</v>
      </c>
      <c r="E116" s="10">
        <f t="shared" si="9"/>
        <v>341536.4334188676</v>
      </c>
    </row>
    <row r="117" spans="1:5" ht="12.75">
      <c r="A117" s="39">
        <f t="shared" si="6"/>
        <v>2021</v>
      </c>
      <c r="B117" s="39">
        <f t="shared" si="7"/>
        <v>8</v>
      </c>
      <c r="C117" s="10">
        <f t="shared" si="5"/>
        <v>2556.01211814809</v>
      </c>
      <c r="D117" s="10">
        <f t="shared" si="8"/>
        <v>1268.9169965909534</v>
      </c>
      <c r="E117" s="10">
        <f t="shared" si="9"/>
        <v>340249.33829731046</v>
      </c>
    </row>
    <row r="118" spans="1:5" ht="12.75">
      <c r="A118" s="39">
        <f t="shared" si="6"/>
        <v>2021</v>
      </c>
      <c r="B118" s="39">
        <f t="shared" si="7"/>
        <v>9</v>
      </c>
      <c r="C118" s="10">
        <f t="shared" si="5"/>
        <v>2556.01211814809</v>
      </c>
      <c r="D118" s="10">
        <f t="shared" si="8"/>
        <v>1264.1350268911935</v>
      </c>
      <c r="E118" s="10">
        <f t="shared" si="9"/>
        <v>338957.46120605356</v>
      </c>
    </row>
    <row r="119" spans="1:5" ht="12.75">
      <c r="A119" s="39">
        <f t="shared" si="6"/>
        <v>2021</v>
      </c>
      <c r="B119" s="39">
        <f t="shared" si="7"/>
        <v>10</v>
      </c>
      <c r="C119" s="10">
        <f t="shared" si="5"/>
        <v>2556.01211814809</v>
      </c>
      <c r="D119" s="10">
        <f t="shared" si="8"/>
        <v>1259.3352906458017</v>
      </c>
      <c r="E119" s="10">
        <f t="shared" si="9"/>
        <v>337660.7843785513</v>
      </c>
    </row>
    <row r="120" spans="1:5" ht="12.75">
      <c r="A120" s="39">
        <f t="shared" si="6"/>
        <v>2021</v>
      </c>
      <c r="B120" s="39">
        <f t="shared" si="7"/>
        <v>11</v>
      </c>
      <c r="C120" s="10">
        <f t="shared" si="5"/>
        <v>2556.01211814809</v>
      </c>
      <c r="D120" s="10">
        <f t="shared" si="8"/>
        <v>1254.5177218463837</v>
      </c>
      <c r="E120" s="10">
        <f t="shared" si="9"/>
        <v>336359.2899822496</v>
      </c>
    </row>
    <row r="121" spans="1:5" ht="12.75">
      <c r="A121" s="39">
        <f t="shared" si="6"/>
        <v>2021</v>
      </c>
      <c r="B121" s="39">
        <f t="shared" si="7"/>
        <v>12</v>
      </c>
      <c r="C121" s="10">
        <f t="shared" si="5"/>
        <v>2556.01211814809</v>
      </c>
      <c r="D121" s="10">
        <f t="shared" si="8"/>
        <v>1249.6822542393022</v>
      </c>
      <c r="E121" s="10">
        <f t="shared" si="9"/>
        <v>335052.96011834085</v>
      </c>
    </row>
    <row r="122" spans="1:5" ht="12.75">
      <c r="A122" s="39">
        <f t="shared" si="6"/>
        <v>2022</v>
      </c>
      <c r="B122" s="39">
        <f t="shared" si="7"/>
        <v>1</v>
      </c>
      <c r="C122" s="10">
        <f t="shared" si="5"/>
        <v>2726.6545721843722</v>
      </c>
      <c r="D122" s="10">
        <f t="shared" si="8"/>
        <v>1518.353374022879</v>
      </c>
      <c r="E122" s="10">
        <f t="shared" si="9"/>
        <v>333844.65892017935</v>
      </c>
    </row>
    <row r="123" spans="1:5" ht="12.75">
      <c r="A123" s="39">
        <f t="shared" si="6"/>
        <v>2022</v>
      </c>
      <c r="B123" s="39">
        <f t="shared" si="7"/>
        <v>2</v>
      </c>
      <c r="C123" s="10">
        <f t="shared" si="5"/>
        <v>2726.6545721843722</v>
      </c>
      <c r="D123" s="10">
        <f t="shared" si="8"/>
        <v>1512.8777375729983</v>
      </c>
      <c r="E123" s="10">
        <f t="shared" si="9"/>
        <v>332630.882085568</v>
      </c>
    </row>
    <row r="124" spans="1:5" ht="12.75">
      <c r="A124" s="39">
        <f t="shared" si="6"/>
        <v>2022</v>
      </c>
      <c r="B124" s="39">
        <f t="shared" si="7"/>
        <v>3</v>
      </c>
      <c r="C124" s="10">
        <f t="shared" si="5"/>
        <v>2726.6545721843722</v>
      </c>
      <c r="D124" s="10">
        <f t="shared" si="8"/>
        <v>1507.3772872815218</v>
      </c>
      <c r="E124" s="10">
        <f t="shared" si="9"/>
        <v>331411.6048006651</v>
      </c>
    </row>
    <row r="125" spans="1:5" ht="12.75">
      <c r="A125" s="39">
        <f t="shared" si="6"/>
        <v>2022</v>
      </c>
      <c r="B125" s="39">
        <f t="shared" si="7"/>
        <v>4</v>
      </c>
      <c r="C125" s="10">
        <f t="shared" si="5"/>
        <v>2726.6545721843722</v>
      </c>
      <c r="D125" s="10">
        <f t="shared" si="8"/>
        <v>1501.8519107000172</v>
      </c>
      <c r="E125" s="10">
        <f t="shared" si="9"/>
        <v>330186.80213918077</v>
      </c>
    </row>
    <row r="126" spans="1:5" ht="12.75">
      <c r="A126" s="39">
        <f t="shared" si="6"/>
        <v>2022</v>
      </c>
      <c r="B126" s="39">
        <f t="shared" si="7"/>
        <v>5</v>
      </c>
      <c r="C126" s="10">
        <f t="shared" si="5"/>
        <v>2726.6545721843722</v>
      </c>
      <c r="D126" s="10">
        <f t="shared" si="8"/>
        <v>1496.3014948704715</v>
      </c>
      <c r="E126" s="10">
        <f t="shared" si="9"/>
        <v>328956.44906186685</v>
      </c>
    </row>
    <row r="127" spans="1:5" ht="12.75">
      <c r="A127" s="39">
        <f t="shared" si="6"/>
        <v>2022</v>
      </c>
      <c r="B127" s="39">
        <f t="shared" si="7"/>
        <v>6</v>
      </c>
      <c r="C127" s="10">
        <f t="shared" si="5"/>
        <v>2726.6545721843722</v>
      </c>
      <c r="D127" s="10">
        <f t="shared" si="8"/>
        <v>1490.725926322982</v>
      </c>
      <c r="E127" s="10">
        <f t="shared" si="9"/>
        <v>327720.52041600546</v>
      </c>
    </row>
    <row r="128" spans="1:5" ht="12.75">
      <c r="A128" s="39">
        <f t="shared" si="6"/>
        <v>2022</v>
      </c>
      <c r="B128" s="39">
        <f t="shared" si="7"/>
        <v>7</v>
      </c>
      <c r="C128" s="10">
        <f t="shared" si="5"/>
        <v>2726.6545721843722</v>
      </c>
      <c r="D128" s="10">
        <f t="shared" si="8"/>
        <v>1485.1250910734373</v>
      </c>
      <c r="E128" s="10">
        <f t="shared" si="9"/>
        <v>326478.99093489454</v>
      </c>
    </row>
    <row r="129" spans="1:5" ht="12.75">
      <c r="A129" s="39">
        <f t="shared" si="6"/>
        <v>2022</v>
      </c>
      <c r="B129" s="39">
        <f t="shared" si="7"/>
        <v>8</v>
      </c>
      <c r="C129" s="10">
        <f t="shared" si="5"/>
        <v>2726.6545721843722</v>
      </c>
      <c r="D129" s="10">
        <f t="shared" si="8"/>
        <v>1479.498874621185</v>
      </c>
      <c r="E129" s="10">
        <f t="shared" si="9"/>
        <v>325231.83523733134</v>
      </c>
    </row>
    <row r="130" spans="1:5" ht="12.75">
      <c r="A130" s="39">
        <f t="shared" si="6"/>
        <v>2022</v>
      </c>
      <c r="B130" s="39">
        <f t="shared" si="7"/>
        <v>9</v>
      </c>
      <c r="C130" s="10">
        <f aca="true" t="shared" si="10" ref="C130:C193">IF((((A130-$A$2)+1)&gt;10),$I$15,IF((((A130-$A$2)+1)&gt;5),$I$14,$I$13))</f>
        <v>2726.6545721843722</v>
      </c>
      <c r="D130" s="10">
        <f t="shared" si="8"/>
        <v>1473.8471619466927</v>
      </c>
      <c r="E130" s="10">
        <f t="shared" si="9"/>
        <v>323979.02782709367</v>
      </c>
    </row>
    <row r="131" spans="1:5" ht="12.75">
      <c r="A131" s="39">
        <f aca="true" t="shared" si="11" ref="A131:A194">IF((B131=1),(A130+1),A130)</f>
        <v>2022</v>
      </c>
      <c r="B131" s="39">
        <f aca="true" t="shared" si="12" ref="B131:B194">IF((B130=12),1,(B130+1))</f>
        <v>10</v>
      </c>
      <c r="C131" s="10">
        <f t="shared" si="10"/>
        <v>2726.6545721843722</v>
      </c>
      <c r="D131" s="10">
        <f aca="true" t="shared" si="13" ref="D131:D194">IF((((A131-$A$2)+1)&gt;10),$H$15,IF((((A131-$A$2)+1)&gt;5),$H$14,$H$13))*E130</f>
        <v>1468.169837509197</v>
      </c>
      <c r="E131" s="10">
        <f aca="true" t="shared" si="14" ref="E131:E194">MAX((E130-(C131-D131)),0)</f>
        <v>322720.5430924185</v>
      </c>
    </row>
    <row r="132" spans="1:5" ht="12.75">
      <c r="A132" s="39">
        <f t="shared" si="11"/>
        <v>2022</v>
      </c>
      <c r="B132" s="39">
        <f t="shared" si="12"/>
        <v>11</v>
      </c>
      <c r="C132" s="10">
        <f t="shared" si="10"/>
        <v>2726.6545721843722</v>
      </c>
      <c r="D132" s="10">
        <f t="shared" si="13"/>
        <v>1462.4667852443388</v>
      </c>
      <c r="E132" s="10">
        <f t="shared" si="14"/>
        <v>321456.3553054785</v>
      </c>
    </row>
    <row r="133" spans="1:5" ht="12.75">
      <c r="A133" s="39">
        <f t="shared" si="11"/>
        <v>2022</v>
      </c>
      <c r="B133" s="39">
        <f t="shared" si="12"/>
        <v>12</v>
      </c>
      <c r="C133" s="10">
        <f t="shared" si="10"/>
        <v>2726.6545721843722</v>
      </c>
      <c r="D133" s="10">
        <f t="shared" si="13"/>
        <v>1456.7378885617936</v>
      </c>
      <c r="E133" s="10">
        <f t="shared" si="14"/>
        <v>320186.4386218559</v>
      </c>
    </row>
    <row r="134" spans="1:5" ht="12.75">
      <c r="A134" s="39">
        <f t="shared" si="11"/>
        <v>2023</v>
      </c>
      <c r="B134" s="39">
        <f t="shared" si="12"/>
        <v>1</v>
      </c>
      <c r="C134" s="10">
        <f t="shared" si="10"/>
        <v>2726.6545721843722</v>
      </c>
      <c r="D134" s="10">
        <f t="shared" si="13"/>
        <v>1450.9830303428862</v>
      </c>
      <c r="E134" s="10">
        <f t="shared" si="14"/>
        <v>318910.76708001446</v>
      </c>
    </row>
    <row r="135" spans="1:5" ht="12.75">
      <c r="A135" s="39">
        <f t="shared" si="11"/>
        <v>2023</v>
      </c>
      <c r="B135" s="39">
        <f t="shared" si="12"/>
        <v>2</v>
      </c>
      <c r="C135" s="10">
        <f t="shared" si="10"/>
        <v>2726.6545721843722</v>
      </c>
      <c r="D135" s="10">
        <f t="shared" si="13"/>
        <v>1445.202092938197</v>
      </c>
      <c r="E135" s="10">
        <f t="shared" si="14"/>
        <v>317629.31460076827</v>
      </c>
    </row>
    <row r="136" spans="1:5" ht="12.75">
      <c r="A136" s="39">
        <f t="shared" si="11"/>
        <v>2023</v>
      </c>
      <c r="B136" s="39">
        <f t="shared" si="12"/>
        <v>3</v>
      </c>
      <c r="C136" s="10">
        <f t="shared" si="10"/>
        <v>2726.6545721843722</v>
      </c>
      <c r="D136" s="10">
        <f t="shared" si="13"/>
        <v>1439.3949581651564</v>
      </c>
      <c r="E136" s="10">
        <f t="shared" si="14"/>
        <v>316342.0549867491</v>
      </c>
    </row>
    <row r="137" spans="1:5" ht="12.75">
      <c r="A137" s="39">
        <f t="shared" si="11"/>
        <v>2023</v>
      </c>
      <c r="B137" s="39">
        <f t="shared" si="12"/>
        <v>4</v>
      </c>
      <c r="C137" s="10">
        <f t="shared" si="10"/>
        <v>2726.6545721843722</v>
      </c>
      <c r="D137" s="10">
        <f t="shared" si="13"/>
        <v>1433.5615073056292</v>
      </c>
      <c r="E137" s="10">
        <f t="shared" si="14"/>
        <v>315048.96192187036</v>
      </c>
    </row>
    <row r="138" spans="1:5" ht="12.75">
      <c r="A138" s="39">
        <f t="shared" si="11"/>
        <v>2023</v>
      </c>
      <c r="B138" s="39">
        <f t="shared" si="12"/>
        <v>5</v>
      </c>
      <c r="C138" s="10">
        <f t="shared" si="10"/>
        <v>2726.6545721843722</v>
      </c>
      <c r="D138" s="10">
        <f t="shared" si="13"/>
        <v>1427.7016211034875</v>
      </c>
      <c r="E138" s="10">
        <f t="shared" si="14"/>
        <v>313750.0089707895</v>
      </c>
    </row>
    <row r="139" spans="1:5" ht="12.75">
      <c r="A139" s="39">
        <f t="shared" si="11"/>
        <v>2023</v>
      </c>
      <c r="B139" s="39">
        <f t="shared" si="12"/>
        <v>6</v>
      </c>
      <c r="C139" s="10">
        <f t="shared" si="10"/>
        <v>2726.6545721843722</v>
      </c>
      <c r="D139" s="10">
        <f t="shared" si="13"/>
        <v>1421.8151797621724</v>
      </c>
      <c r="E139" s="10">
        <f t="shared" si="14"/>
        <v>312445.1695783673</v>
      </c>
    </row>
    <row r="140" spans="1:5" ht="12.75">
      <c r="A140" s="39">
        <f t="shared" si="11"/>
        <v>2023</v>
      </c>
      <c r="B140" s="39">
        <f t="shared" si="12"/>
        <v>7</v>
      </c>
      <c r="C140" s="10">
        <f t="shared" si="10"/>
        <v>2726.6545721843722</v>
      </c>
      <c r="D140" s="10">
        <f t="shared" si="13"/>
        <v>1415.9020629422453</v>
      </c>
      <c r="E140" s="10">
        <f t="shared" si="14"/>
        <v>311134.4170691252</v>
      </c>
    </row>
    <row r="141" spans="1:5" ht="12.75">
      <c r="A141" s="39">
        <f t="shared" si="11"/>
        <v>2023</v>
      </c>
      <c r="B141" s="39">
        <f t="shared" si="12"/>
        <v>8</v>
      </c>
      <c r="C141" s="10">
        <f t="shared" si="10"/>
        <v>2726.6545721843722</v>
      </c>
      <c r="D141" s="10">
        <f t="shared" si="13"/>
        <v>1409.9621497589271</v>
      </c>
      <c r="E141" s="10">
        <f t="shared" si="14"/>
        <v>309817.7246466998</v>
      </c>
    </row>
    <row r="142" spans="1:5" ht="12.75">
      <c r="A142" s="39">
        <f t="shared" si="11"/>
        <v>2023</v>
      </c>
      <c r="B142" s="39">
        <f t="shared" si="12"/>
        <v>9</v>
      </c>
      <c r="C142" s="10">
        <f t="shared" si="10"/>
        <v>2726.6545721843722</v>
      </c>
      <c r="D142" s="10">
        <f t="shared" si="13"/>
        <v>1403.995318779628</v>
      </c>
      <c r="E142" s="10">
        <f t="shared" si="14"/>
        <v>308495.065393295</v>
      </c>
    </row>
    <row r="143" spans="1:5" ht="12.75">
      <c r="A143" s="39">
        <f t="shared" si="11"/>
        <v>2023</v>
      </c>
      <c r="B143" s="39">
        <f t="shared" si="12"/>
        <v>10</v>
      </c>
      <c r="C143" s="10">
        <f t="shared" si="10"/>
        <v>2726.6545721843722</v>
      </c>
      <c r="D143" s="10">
        <f t="shared" si="13"/>
        <v>1398.0014480214636</v>
      </c>
      <c r="E143" s="10">
        <f t="shared" si="14"/>
        <v>307166.4122691321</v>
      </c>
    </row>
    <row r="144" spans="1:5" ht="12.75">
      <c r="A144" s="39">
        <f t="shared" si="11"/>
        <v>2023</v>
      </c>
      <c r="B144" s="39">
        <f t="shared" si="12"/>
        <v>11</v>
      </c>
      <c r="C144" s="10">
        <f t="shared" si="10"/>
        <v>2726.6545721843722</v>
      </c>
      <c r="D144" s="10">
        <f t="shared" si="13"/>
        <v>1391.980414948763</v>
      </c>
      <c r="E144" s="10">
        <f t="shared" si="14"/>
        <v>305831.7381118965</v>
      </c>
    </row>
    <row r="145" spans="1:5" ht="12.75">
      <c r="A145" s="39">
        <f t="shared" si="11"/>
        <v>2023</v>
      </c>
      <c r="B145" s="39">
        <f t="shared" si="12"/>
        <v>12</v>
      </c>
      <c r="C145" s="10">
        <f t="shared" si="10"/>
        <v>2726.6545721843722</v>
      </c>
      <c r="D145" s="10">
        <f t="shared" si="13"/>
        <v>1385.9320964705614</v>
      </c>
      <c r="E145" s="10">
        <f t="shared" si="14"/>
        <v>304491.0156361827</v>
      </c>
    </row>
    <row r="146" spans="1:5" ht="12.75">
      <c r="A146" s="39">
        <f t="shared" si="11"/>
        <v>2024</v>
      </c>
      <c r="B146" s="39">
        <f t="shared" si="12"/>
        <v>1</v>
      </c>
      <c r="C146" s="10">
        <f t="shared" si="10"/>
        <v>2726.6545721843722</v>
      </c>
      <c r="D146" s="10">
        <f t="shared" si="13"/>
        <v>1379.8563689380862</v>
      </c>
      <c r="E146" s="10">
        <f t="shared" si="14"/>
        <v>303144.2174329364</v>
      </c>
    </row>
    <row r="147" spans="1:5" ht="12.75">
      <c r="A147" s="39">
        <f t="shared" si="11"/>
        <v>2024</v>
      </c>
      <c r="B147" s="39">
        <f t="shared" si="12"/>
        <v>2</v>
      </c>
      <c r="C147" s="10">
        <f t="shared" si="10"/>
        <v>2726.6545721843722</v>
      </c>
      <c r="D147" s="10">
        <f t="shared" si="13"/>
        <v>1373.7531081422267</v>
      </c>
      <c r="E147" s="10">
        <f t="shared" si="14"/>
        <v>301791.3159688943</v>
      </c>
    </row>
    <row r="148" spans="1:5" ht="12.75">
      <c r="A148" s="39">
        <f t="shared" si="11"/>
        <v>2024</v>
      </c>
      <c r="B148" s="39">
        <f t="shared" si="12"/>
        <v>3</v>
      </c>
      <c r="C148" s="10">
        <f t="shared" si="10"/>
        <v>2726.6545721843722</v>
      </c>
      <c r="D148" s="10">
        <f t="shared" si="13"/>
        <v>1367.6221893109969</v>
      </c>
      <c r="E148" s="10">
        <f t="shared" si="14"/>
        <v>300432.28358602093</v>
      </c>
    </row>
    <row r="149" spans="1:5" ht="12.75">
      <c r="A149" s="39">
        <f t="shared" si="11"/>
        <v>2024</v>
      </c>
      <c r="B149" s="39">
        <f t="shared" si="12"/>
        <v>4</v>
      </c>
      <c r="C149" s="10">
        <f t="shared" si="10"/>
        <v>2726.6545721843722</v>
      </c>
      <c r="D149" s="10">
        <f t="shared" si="13"/>
        <v>1361.4634871069832</v>
      </c>
      <c r="E149" s="10">
        <f t="shared" si="14"/>
        <v>299067.0925009435</v>
      </c>
    </row>
    <row r="150" spans="1:5" ht="12.75">
      <c r="A150" s="39">
        <f t="shared" si="11"/>
        <v>2024</v>
      </c>
      <c r="B150" s="39">
        <f t="shared" si="12"/>
        <v>5</v>
      </c>
      <c r="C150" s="10">
        <f t="shared" si="10"/>
        <v>2726.6545721843722</v>
      </c>
      <c r="D150" s="10">
        <f t="shared" si="13"/>
        <v>1355.276875624783</v>
      </c>
      <c r="E150" s="10">
        <f t="shared" si="14"/>
        <v>297695.7148043839</v>
      </c>
    </row>
    <row r="151" spans="1:5" ht="12.75">
      <c r="A151" s="39">
        <f t="shared" si="11"/>
        <v>2024</v>
      </c>
      <c r="B151" s="39">
        <f t="shared" si="12"/>
        <v>6</v>
      </c>
      <c r="C151" s="10">
        <f t="shared" si="10"/>
        <v>2726.6545721843722</v>
      </c>
      <c r="D151" s="10">
        <f t="shared" si="13"/>
        <v>1349.062228388431</v>
      </c>
      <c r="E151" s="10">
        <f t="shared" si="14"/>
        <v>296318.122460588</v>
      </c>
    </row>
    <row r="152" spans="1:5" ht="12.75">
      <c r="A152" s="39">
        <f t="shared" si="11"/>
        <v>2024</v>
      </c>
      <c r="B152" s="39">
        <f t="shared" si="12"/>
        <v>7</v>
      </c>
      <c r="C152" s="10">
        <f t="shared" si="10"/>
        <v>2726.6545721843722</v>
      </c>
      <c r="D152" s="10">
        <f t="shared" si="13"/>
        <v>1342.8194183488129</v>
      </c>
      <c r="E152" s="10">
        <f t="shared" si="14"/>
        <v>294934.28730675246</v>
      </c>
    </row>
    <row r="153" spans="1:5" ht="12.75">
      <c r="A153" s="39">
        <f t="shared" si="11"/>
        <v>2024</v>
      </c>
      <c r="B153" s="39">
        <f t="shared" si="12"/>
        <v>8</v>
      </c>
      <c r="C153" s="10">
        <f t="shared" si="10"/>
        <v>2726.6545721843722</v>
      </c>
      <c r="D153" s="10">
        <f t="shared" si="13"/>
        <v>1336.5483178810673</v>
      </c>
      <c r="E153" s="10">
        <f t="shared" si="14"/>
        <v>293544.18105244916</v>
      </c>
    </row>
    <row r="154" spans="1:5" ht="12.75">
      <c r="A154" s="39">
        <f t="shared" si="11"/>
        <v>2024</v>
      </c>
      <c r="B154" s="39">
        <f t="shared" si="12"/>
        <v>9</v>
      </c>
      <c r="C154" s="10">
        <f t="shared" si="10"/>
        <v>2726.6545721843722</v>
      </c>
      <c r="D154" s="10">
        <f t="shared" si="13"/>
        <v>1330.2487987819784</v>
      </c>
      <c r="E154" s="10">
        <f t="shared" si="14"/>
        <v>292147.7752790468</v>
      </c>
    </row>
    <row r="155" spans="1:5" ht="12.75">
      <c r="A155" s="39">
        <f t="shared" si="11"/>
        <v>2024</v>
      </c>
      <c r="B155" s="39">
        <f t="shared" si="12"/>
        <v>10</v>
      </c>
      <c r="C155" s="10">
        <f t="shared" si="10"/>
        <v>2726.6545721843722</v>
      </c>
      <c r="D155" s="10">
        <f t="shared" si="13"/>
        <v>1323.9207322673544</v>
      </c>
      <c r="E155" s="10">
        <f t="shared" si="14"/>
        <v>290745.0414391298</v>
      </c>
    </row>
    <row r="156" spans="1:5" ht="12.75">
      <c r="A156" s="39">
        <f t="shared" si="11"/>
        <v>2024</v>
      </c>
      <c r="B156" s="39">
        <f t="shared" si="12"/>
        <v>11</v>
      </c>
      <c r="C156" s="10">
        <f t="shared" si="10"/>
        <v>2726.6545721843722</v>
      </c>
      <c r="D156" s="10">
        <f t="shared" si="13"/>
        <v>1317.5639889693941</v>
      </c>
      <c r="E156" s="10">
        <f t="shared" si="14"/>
        <v>289335.9508559148</v>
      </c>
    </row>
    <row r="157" spans="1:5" ht="12.75">
      <c r="A157" s="39">
        <f t="shared" si="11"/>
        <v>2024</v>
      </c>
      <c r="B157" s="39">
        <f t="shared" si="12"/>
        <v>12</v>
      </c>
      <c r="C157" s="10">
        <f t="shared" si="10"/>
        <v>2726.6545721843722</v>
      </c>
      <c r="D157" s="10">
        <f t="shared" si="13"/>
        <v>1311.1784389340426</v>
      </c>
      <c r="E157" s="10">
        <f t="shared" si="14"/>
        <v>287920.47472266445</v>
      </c>
    </row>
    <row r="158" spans="1:5" ht="12.75">
      <c r="A158" s="39">
        <f t="shared" si="11"/>
        <v>2025</v>
      </c>
      <c r="B158" s="39">
        <f t="shared" si="12"/>
        <v>1</v>
      </c>
      <c r="C158" s="10">
        <f t="shared" si="10"/>
        <v>2726.6545721843722</v>
      </c>
      <c r="D158" s="10">
        <f t="shared" si="13"/>
        <v>1304.7639516183344</v>
      </c>
      <c r="E158" s="10">
        <f t="shared" si="14"/>
        <v>286498.5841020984</v>
      </c>
    </row>
    <row r="159" spans="1:5" ht="12.75">
      <c r="A159" s="39">
        <f t="shared" si="11"/>
        <v>2025</v>
      </c>
      <c r="B159" s="39">
        <f t="shared" si="12"/>
        <v>2</v>
      </c>
      <c r="C159" s="10">
        <f t="shared" si="10"/>
        <v>2726.6545721843722</v>
      </c>
      <c r="D159" s="10">
        <f t="shared" si="13"/>
        <v>1298.320395887726</v>
      </c>
      <c r="E159" s="10">
        <f t="shared" si="14"/>
        <v>285070.24992580176</v>
      </c>
    </row>
    <row r="160" spans="1:5" ht="12.75">
      <c r="A160" s="39">
        <f t="shared" si="11"/>
        <v>2025</v>
      </c>
      <c r="B160" s="39">
        <f t="shared" si="12"/>
        <v>3</v>
      </c>
      <c r="C160" s="10">
        <f t="shared" si="10"/>
        <v>2726.6545721843722</v>
      </c>
      <c r="D160" s="10">
        <f t="shared" si="13"/>
        <v>1291.847640013412</v>
      </c>
      <c r="E160" s="10">
        <f t="shared" si="14"/>
        <v>283635.44299363083</v>
      </c>
    </row>
    <row r="161" spans="1:5" ht="12.75">
      <c r="A161" s="39">
        <f t="shared" si="11"/>
        <v>2025</v>
      </c>
      <c r="B161" s="39">
        <f t="shared" si="12"/>
        <v>4</v>
      </c>
      <c r="C161" s="10">
        <f t="shared" si="10"/>
        <v>2726.6545721843722</v>
      </c>
      <c r="D161" s="10">
        <f t="shared" si="13"/>
        <v>1285.3455516696358</v>
      </c>
      <c r="E161" s="10">
        <f t="shared" si="14"/>
        <v>282194.1339731161</v>
      </c>
    </row>
    <row r="162" spans="1:5" ht="12.75">
      <c r="A162" s="39">
        <f t="shared" si="11"/>
        <v>2025</v>
      </c>
      <c r="B162" s="39">
        <f t="shared" si="12"/>
        <v>5</v>
      </c>
      <c r="C162" s="10">
        <f t="shared" si="10"/>
        <v>2726.6545721843722</v>
      </c>
      <c r="D162" s="10">
        <f t="shared" si="13"/>
        <v>1278.8139979309817</v>
      </c>
      <c r="E162" s="10">
        <f t="shared" si="14"/>
        <v>280746.2933988627</v>
      </c>
    </row>
    <row r="163" spans="1:5" ht="12.75">
      <c r="A163" s="39">
        <f t="shared" si="11"/>
        <v>2025</v>
      </c>
      <c r="B163" s="39">
        <f t="shared" si="12"/>
        <v>6</v>
      </c>
      <c r="C163" s="10">
        <f t="shared" si="10"/>
        <v>2726.6545721843722</v>
      </c>
      <c r="D163" s="10">
        <f t="shared" si="13"/>
        <v>1272.2528452696579</v>
      </c>
      <c r="E163" s="10">
        <f t="shared" si="14"/>
        <v>279291.891671948</v>
      </c>
    </row>
    <row r="164" spans="1:5" ht="12.75">
      <c r="A164" s="39">
        <f t="shared" si="11"/>
        <v>2025</v>
      </c>
      <c r="B164" s="39">
        <f t="shared" si="12"/>
        <v>7</v>
      </c>
      <c r="C164" s="10">
        <f t="shared" si="10"/>
        <v>2726.6545721843722</v>
      </c>
      <c r="D164" s="10">
        <f t="shared" si="13"/>
        <v>1265.661959552768</v>
      </c>
      <c r="E164" s="10">
        <f t="shared" si="14"/>
        <v>277830.89905931643</v>
      </c>
    </row>
    <row r="165" spans="1:5" ht="12.75">
      <c r="A165" s="39">
        <f t="shared" si="11"/>
        <v>2025</v>
      </c>
      <c r="B165" s="39">
        <f t="shared" si="12"/>
        <v>8</v>
      </c>
      <c r="C165" s="10">
        <f t="shared" si="10"/>
        <v>2726.6545721843722</v>
      </c>
      <c r="D165" s="10">
        <f t="shared" si="13"/>
        <v>1259.0412060395677</v>
      </c>
      <c r="E165" s="10">
        <f t="shared" si="14"/>
        <v>276363.2856931716</v>
      </c>
    </row>
    <row r="166" spans="1:5" ht="12.75">
      <c r="A166" s="39">
        <f t="shared" si="11"/>
        <v>2025</v>
      </c>
      <c r="B166" s="39">
        <f t="shared" si="12"/>
        <v>9</v>
      </c>
      <c r="C166" s="10">
        <f t="shared" si="10"/>
        <v>2726.6545721843722</v>
      </c>
      <c r="D166" s="10">
        <f t="shared" si="13"/>
        <v>1252.3904493787102</v>
      </c>
      <c r="E166" s="10">
        <f t="shared" si="14"/>
        <v>274889.02157036593</v>
      </c>
    </row>
    <row r="167" spans="1:5" ht="12.75">
      <c r="A167" s="39">
        <f t="shared" si="11"/>
        <v>2025</v>
      </c>
      <c r="B167" s="39">
        <f t="shared" si="12"/>
        <v>10</v>
      </c>
      <c r="C167" s="10">
        <f t="shared" si="10"/>
        <v>2726.6545721843722</v>
      </c>
      <c r="D167" s="10">
        <f t="shared" si="13"/>
        <v>1245.70955360548</v>
      </c>
      <c r="E167" s="10">
        <f t="shared" si="14"/>
        <v>273408.07655178703</v>
      </c>
    </row>
    <row r="168" spans="1:5" ht="12.75">
      <c r="A168" s="39">
        <f t="shared" si="11"/>
        <v>2025</v>
      </c>
      <c r="B168" s="39">
        <f t="shared" si="12"/>
        <v>11</v>
      </c>
      <c r="C168" s="10">
        <f t="shared" si="10"/>
        <v>2726.6545721843722</v>
      </c>
      <c r="D168" s="10">
        <f t="shared" si="13"/>
        <v>1238.9983821390126</v>
      </c>
      <c r="E168" s="10">
        <f t="shared" si="14"/>
        <v>271920.4203617417</v>
      </c>
    </row>
    <row r="169" spans="1:5" ht="12.75">
      <c r="A169" s="39">
        <f t="shared" si="11"/>
        <v>2025</v>
      </c>
      <c r="B169" s="39">
        <f t="shared" si="12"/>
        <v>12</v>
      </c>
      <c r="C169" s="10">
        <f t="shared" si="10"/>
        <v>2726.6545721843722</v>
      </c>
      <c r="D169" s="10">
        <f t="shared" si="13"/>
        <v>1232.2567977795024</v>
      </c>
      <c r="E169" s="10">
        <f t="shared" si="14"/>
        <v>270426.02258733683</v>
      </c>
    </row>
    <row r="170" spans="1:5" ht="12.75">
      <c r="A170" s="39">
        <f t="shared" si="11"/>
        <v>2026</v>
      </c>
      <c r="B170" s="39">
        <f t="shared" si="12"/>
        <v>1</v>
      </c>
      <c r="C170" s="10">
        <f t="shared" si="10"/>
        <v>2726.6545721843722</v>
      </c>
      <c r="D170" s="10">
        <f t="shared" si="13"/>
        <v>1225.4846627053983</v>
      </c>
      <c r="E170" s="10">
        <f t="shared" si="14"/>
        <v>268924.85267785785</v>
      </c>
    </row>
    <row r="171" spans="1:5" ht="12.75">
      <c r="A171" s="39">
        <f t="shared" si="11"/>
        <v>2026</v>
      </c>
      <c r="B171" s="39">
        <f t="shared" si="12"/>
        <v>2</v>
      </c>
      <c r="C171" s="10">
        <f t="shared" si="10"/>
        <v>2726.6545721843722</v>
      </c>
      <c r="D171" s="10">
        <f t="shared" si="13"/>
        <v>1218.6818384705848</v>
      </c>
      <c r="E171" s="10">
        <f t="shared" si="14"/>
        <v>267416.87994414405</v>
      </c>
    </row>
    <row r="172" spans="1:5" ht="12.75">
      <c r="A172" s="39">
        <f t="shared" si="11"/>
        <v>2026</v>
      </c>
      <c r="B172" s="39">
        <f t="shared" si="12"/>
        <v>3</v>
      </c>
      <c r="C172" s="10">
        <f t="shared" si="10"/>
        <v>2726.6545721843722</v>
      </c>
      <c r="D172" s="10">
        <f t="shared" si="13"/>
        <v>1211.8481860015538</v>
      </c>
      <c r="E172" s="10">
        <f t="shared" si="14"/>
        <v>265902.0735579612</v>
      </c>
    </row>
    <row r="173" spans="1:5" ht="12.75">
      <c r="A173" s="39">
        <f t="shared" si="11"/>
        <v>2026</v>
      </c>
      <c r="B173" s="39">
        <f t="shared" si="12"/>
        <v>4</v>
      </c>
      <c r="C173" s="10">
        <f t="shared" si="10"/>
        <v>2726.6545721843722</v>
      </c>
      <c r="D173" s="10">
        <f t="shared" si="13"/>
        <v>1204.9835655945596</v>
      </c>
      <c r="E173" s="10">
        <f t="shared" si="14"/>
        <v>264380.4025513714</v>
      </c>
    </row>
    <row r="174" spans="1:5" ht="12.75">
      <c r="A174" s="39">
        <f t="shared" si="11"/>
        <v>2026</v>
      </c>
      <c r="B174" s="39">
        <f t="shared" si="12"/>
        <v>5</v>
      </c>
      <c r="C174" s="10">
        <f t="shared" si="10"/>
        <v>2726.6545721843722</v>
      </c>
      <c r="D174" s="10">
        <f t="shared" si="13"/>
        <v>1198.0878369127645</v>
      </c>
      <c r="E174" s="10">
        <f t="shared" si="14"/>
        <v>262851.8358160998</v>
      </c>
    </row>
    <row r="175" spans="1:5" ht="12.75">
      <c r="A175" s="39">
        <f t="shared" si="11"/>
        <v>2026</v>
      </c>
      <c r="B175" s="39">
        <f t="shared" si="12"/>
        <v>6</v>
      </c>
      <c r="C175" s="10">
        <f t="shared" si="10"/>
        <v>2726.6545721843722</v>
      </c>
      <c r="D175" s="10">
        <f t="shared" si="13"/>
        <v>1191.1608589833677</v>
      </c>
      <c r="E175" s="10">
        <f t="shared" si="14"/>
        <v>261316.34210289878</v>
      </c>
    </row>
    <row r="176" spans="1:5" ht="12.75">
      <c r="A176" s="39">
        <f t="shared" si="11"/>
        <v>2026</v>
      </c>
      <c r="B176" s="39">
        <f t="shared" si="12"/>
        <v>7</v>
      </c>
      <c r="C176" s="10">
        <f t="shared" si="10"/>
        <v>2726.6545721843722</v>
      </c>
      <c r="D176" s="10">
        <f t="shared" si="13"/>
        <v>1184.2024901947254</v>
      </c>
      <c r="E176" s="10">
        <f t="shared" si="14"/>
        <v>259773.89002090914</v>
      </c>
    </row>
    <row r="177" spans="1:5" ht="12.75">
      <c r="A177" s="39">
        <f t="shared" si="11"/>
        <v>2026</v>
      </c>
      <c r="B177" s="39">
        <f t="shared" si="12"/>
        <v>8</v>
      </c>
      <c r="C177" s="10">
        <f t="shared" si="10"/>
        <v>2726.6545721843722</v>
      </c>
      <c r="D177" s="10">
        <f t="shared" si="13"/>
        <v>1177.2125882934547</v>
      </c>
      <c r="E177" s="10">
        <f t="shared" si="14"/>
        <v>258224.4480370182</v>
      </c>
    </row>
    <row r="178" spans="1:5" ht="12.75">
      <c r="A178" s="39">
        <f t="shared" si="11"/>
        <v>2026</v>
      </c>
      <c r="B178" s="39">
        <f t="shared" si="12"/>
        <v>9</v>
      </c>
      <c r="C178" s="10">
        <f t="shared" si="10"/>
        <v>2726.6545721843722</v>
      </c>
      <c r="D178" s="10">
        <f t="shared" si="13"/>
        <v>1170.1910103815253</v>
      </c>
      <c r="E178" s="10">
        <f t="shared" si="14"/>
        <v>256667.98447521537</v>
      </c>
    </row>
    <row r="179" spans="1:5" ht="12.75">
      <c r="A179" s="39">
        <f t="shared" si="11"/>
        <v>2026</v>
      </c>
      <c r="B179" s="39">
        <f t="shared" si="12"/>
        <v>10</v>
      </c>
      <c r="C179" s="10">
        <f t="shared" si="10"/>
        <v>2726.6545721843722</v>
      </c>
      <c r="D179" s="10">
        <f t="shared" si="13"/>
        <v>1163.1376129133391</v>
      </c>
      <c r="E179" s="10">
        <f t="shared" si="14"/>
        <v>255104.46751594433</v>
      </c>
    </row>
    <row r="180" spans="1:5" ht="12.75">
      <c r="A180" s="39">
        <f t="shared" si="11"/>
        <v>2026</v>
      </c>
      <c r="B180" s="39">
        <f t="shared" si="12"/>
        <v>11</v>
      </c>
      <c r="C180" s="10">
        <f t="shared" si="10"/>
        <v>2726.6545721843722</v>
      </c>
      <c r="D180" s="10">
        <f t="shared" si="13"/>
        <v>1156.0522516927945</v>
      </c>
      <c r="E180" s="10">
        <f t="shared" si="14"/>
        <v>253533.86519545276</v>
      </c>
    </row>
    <row r="181" spans="1:5" ht="12.75">
      <c r="A181" s="39">
        <f t="shared" si="11"/>
        <v>2026</v>
      </c>
      <c r="B181" s="39">
        <f t="shared" si="12"/>
        <v>12</v>
      </c>
      <c r="C181" s="10">
        <f t="shared" si="10"/>
        <v>2726.6545721843722</v>
      </c>
      <c r="D181" s="10">
        <f t="shared" si="13"/>
        <v>1148.9347818703395</v>
      </c>
      <c r="E181" s="10">
        <f t="shared" si="14"/>
        <v>251956.14540513873</v>
      </c>
    </row>
    <row r="182" spans="1:5" ht="12.75">
      <c r="A182" s="39">
        <f t="shared" si="11"/>
        <v>2027</v>
      </c>
      <c r="B182" s="39">
        <f t="shared" si="12"/>
        <v>1</v>
      </c>
      <c r="C182" s="10">
        <f t="shared" si="10"/>
        <v>2726.6545721843722</v>
      </c>
      <c r="D182" s="10">
        <f t="shared" si="13"/>
        <v>1141.7850579400094</v>
      </c>
      <c r="E182" s="10">
        <f t="shared" si="14"/>
        <v>250371.27589089435</v>
      </c>
    </row>
    <row r="183" spans="1:5" ht="12.75">
      <c r="A183" s="39">
        <f t="shared" si="11"/>
        <v>2027</v>
      </c>
      <c r="B183" s="39">
        <f t="shared" si="12"/>
        <v>2</v>
      </c>
      <c r="C183" s="10">
        <f t="shared" si="10"/>
        <v>2726.6545721843722</v>
      </c>
      <c r="D183" s="10">
        <f t="shared" si="13"/>
        <v>1134.6029337364537</v>
      </c>
      <c r="E183" s="10">
        <f t="shared" si="14"/>
        <v>248779.22425244644</v>
      </c>
    </row>
    <row r="184" spans="1:5" ht="12.75">
      <c r="A184" s="39">
        <f t="shared" si="11"/>
        <v>2027</v>
      </c>
      <c r="B184" s="39">
        <f t="shared" si="12"/>
        <v>3</v>
      </c>
      <c r="C184" s="10">
        <f t="shared" si="10"/>
        <v>2726.6545721843722</v>
      </c>
      <c r="D184" s="10">
        <f t="shared" si="13"/>
        <v>1127.3882624319463</v>
      </c>
      <c r="E184" s="10">
        <f t="shared" si="14"/>
        <v>247179.95794269402</v>
      </c>
    </row>
    <row r="185" spans="1:5" ht="12.75">
      <c r="A185" s="39">
        <f t="shared" si="11"/>
        <v>2027</v>
      </c>
      <c r="B185" s="39">
        <f t="shared" si="12"/>
        <v>4</v>
      </c>
      <c r="C185" s="10">
        <f t="shared" si="10"/>
        <v>2726.6545721843722</v>
      </c>
      <c r="D185" s="10">
        <f t="shared" si="13"/>
        <v>1120.1408965333849</v>
      </c>
      <c r="E185" s="10">
        <f t="shared" si="14"/>
        <v>245573.44426704303</v>
      </c>
    </row>
    <row r="186" spans="1:5" ht="12.75">
      <c r="A186" s="39">
        <f t="shared" si="11"/>
        <v>2027</v>
      </c>
      <c r="B186" s="39">
        <f t="shared" si="12"/>
        <v>5</v>
      </c>
      <c r="C186" s="10">
        <f t="shared" si="10"/>
        <v>2726.6545721843722</v>
      </c>
      <c r="D186" s="10">
        <f t="shared" si="13"/>
        <v>1112.8606878792755</v>
      </c>
      <c r="E186" s="10">
        <f t="shared" si="14"/>
        <v>243959.65038273792</v>
      </c>
    </row>
    <row r="187" spans="1:5" ht="12.75">
      <c r="A187" s="39">
        <f t="shared" si="11"/>
        <v>2027</v>
      </c>
      <c r="B187" s="39">
        <f t="shared" si="12"/>
        <v>6</v>
      </c>
      <c r="C187" s="10">
        <f t="shared" si="10"/>
        <v>2726.6545721843722</v>
      </c>
      <c r="D187" s="10">
        <f t="shared" si="13"/>
        <v>1105.5474876367027</v>
      </c>
      <c r="E187" s="10">
        <f t="shared" si="14"/>
        <v>242338.54329819026</v>
      </c>
    </row>
    <row r="188" spans="1:5" ht="12.75">
      <c r="A188" s="39">
        <f t="shared" si="11"/>
        <v>2027</v>
      </c>
      <c r="B188" s="39">
        <f t="shared" si="12"/>
        <v>7</v>
      </c>
      <c r="C188" s="10">
        <f t="shared" si="10"/>
        <v>2726.6545721843722</v>
      </c>
      <c r="D188" s="10">
        <f t="shared" si="13"/>
        <v>1098.2011462982887</v>
      </c>
      <c r="E188" s="10">
        <f t="shared" si="14"/>
        <v>240710.08987230418</v>
      </c>
    </row>
    <row r="189" spans="1:5" ht="12.75">
      <c r="A189" s="39">
        <f t="shared" si="11"/>
        <v>2027</v>
      </c>
      <c r="B189" s="39">
        <f t="shared" si="12"/>
        <v>8</v>
      </c>
      <c r="C189" s="10">
        <f t="shared" si="10"/>
        <v>2726.6545721843722</v>
      </c>
      <c r="D189" s="10">
        <f t="shared" si="13"/>
        <v>1090.8215136791353</v>
      </c>
      <c r="E189" s="10">
        <f t="shared" si="14"/>
        <v>239074.25681379894</v>
      </c>
    </row>
    <row r="190" spans="1:5" ht="12.75">
      <c r="A190" s="39">
        <f t="shared" si="11"/>
        <v>2027</v>
      </c>
      <c r="B190" s="39">
        <f t="shared" si="12"/>
        <v>9</v>
      </c>
      <c r="C190" s="10">
        <f t="shared" si="10"/>
        <v>2726.6545721843722</v>
      </c>
      <c r="D190" s="10">
        <f t="shared" si="13"/>
        <v>1083.4084389137538</v>
      </c>
      <c r="E190" s="10">
        <f t="shared" si="14"/>
        <v>237431.01068052833</v>
      </c>
    </row>
    <row r="191" spans="1:5" ht="12.75">
      <c r="A191" s="39">
        <f t="shared" si="11"/>
        <v>2027</v>
      </c>
      <c r="B191" s="39">
        <f t="shared" si="12"/>
        <v>10</v>
      </c>
      <c r="C191" s="10">
        <f t="shared" si="10"/>
        <v>2726.6545721843722</v>
      </c>
      <c r="D191" s="10">
        <f t="shared" si="13"/>
        <v>1075.9617704529821</v>
      </c>
      <c r="E191" s="10">
        <f t="shared" si="14"/>
        <v>235780.31787879695</v>
      </c>
    </row>
    <row r="192" spans="1:5" ht="12.75">
      <c r="A192" s="39">
        <f t="shared" si="11"/>
        <v>2027</v>
      </c>
      <c r="B192" s="39">
        <f t="shared" si="12"/>
        <v>11</v>
      </c>
      <c r="C192" s="10">
        <f t="shared" si="10"/>
        <v>2726.6545721843722</v>
      </c>
      <c r="D192" s="10">
        <f t="shared" si="13"/>
        <v>1068.4813560608845</v>
      </c>
      <c r="E192" s="10">
        <f t="shared" si="14"/>
        <v>234122.14466267347</v>
      </c>
    </row>
    <row r="193" spans="1:5" ht="12.75">
      <c r="A193" s="39">
        <f t="shared" si="11"/>
        <v>2027</v>
      </c>
      <c r="B193" s="39">
        <f t="shared" si="12"/>
        <v>12</v>
      </c>
      <c r="C193" s="10">
        <f t="shared" si="10"/>
        <v>2726.6545721843722</v>
      </c>
      <c r="D193" s="10">
        <f t="shared" si="13"/>
        <v>1060.9670428116412</v>
      </c>
      <c r="E193" s="10">
        <f t="shared" si="14"/>
        <v>232456.45713330075</v>
      </c>
    </row>
    <row r="194" spans="1:5" ht="12.75">
      <c r="A194" s="39">
        <f t="shared" si="11"/>
        <v>2028</v>
      </c>
      <c r="B194" s="39">
        <f t="shared" si="12"/>
        <v>1</v>
      </c>
      <c r="C194" s="10">
        <f aca="true" t="shared" si="15" ref="C194:C257">IF((((A194-$A$2)+1)&gt;10),$I$15,IF((((A194-$A$2)+1)&gt;5),$I$14,$I$13))</f>
        <v>2726.6545721843722</v>
      </c>
      <c r="D194" s="10">
        <f t="shared" si="13"/>
        <v>1053.4186770864208</v>
      </c>
      <c r="E194" s="10">
        <f t="shared" si="14"/>
        <v>230783.2212382028</v>
      </c>
    </row>
    <row r="195" spans="1:5" ht="12.75">
      <c r="A195" s="39">
        <f aca="true" t="shared" si="16" ref="A195:A258">IF((B195=1),(A194+1),A194)</f>
        <v>2028</v>
      </c>
      <c r="B195" s="39">
        <f aca="true" t="shared" si="17" ref="B195:B258">IF((B194=12),1,(B194+1))</f>
        <v>2</v>
      </c>
      <c r="C195" s="10">
        <f t="shared" si="15"/>
        <v>2726.6545721843722</v>
      </c>
      <c r="D195" s="10">
        <f aca="true" t="shared" si="18" ref="D195:D258">IF((((A195-$A$2)+1)&gt;10),$H$15,IF((((A195-$A$2)+1)&gt;5),$H$14,$H$13))*E194</f>
        <v>1045.8361045702406</v>
      </c>
      <c r="E195" s="10">
        <f aca="true" t="shared" si="19" ref="E195:E258">MAX((E194-(C195-D195)),0)</f>
        <v>229102.40277058867</v>
      </c>
    </row>
    <row r="196" spans="1:5" ht="12.75">
      <c r="A196" s="39">
        <f t="shared" si="16"/>
        <v>2028</v>
      </c>
      <c r="B196" s="39">
        <f t="shared" si="17"/>
        <v>3</v>
      </c>
      <c r="C196" s="10">
        <f t="shared" si="15"/>
        <v>2726.6545721843722</v>
      </c>
      <c r="D196" s="10">
        <f t="shared" si="18"/>
        <v>1038.2191702488112</v>
      </c>
      <c r="E196" s="10">
        <f t="shared" si="19"/>
        <v>227413.9673686531</v>
      </c>
    </row>
    <row r="197" spans="1:5" ht="12.75">
      <c r="A197" s="39">
        <f t="shared" si="16"/>
        <v>2028</v>
      </c>
      <c r="B197" s="39">
        <f t="shared" si="17"/>
        <v>4</v>
      </c>
      <c r="C197" s="10">
        <f t="shared" si="15"/>
        <v>2726.6545721843722</v>
      </c>
      <c r="D197" s="10">
        <f t="shared" si="18"/>
        <v>1030.5677184053682</v>
      </c>
      <c r="E197" s="10">
        <f t="shared" si="19"/>
        <v>225717.8805148741</v>
      </c>
    </row>
    <row r="198" spans="1:5" ht="12.75">
      <c r="A198" s="39">
        <f t="shared" si="16"/>
        <v>2028</v>
      </c>
      <c r="B198" s="39">
        <f t="shared" si="17"/>
        <v>5</v>
      </c>
      <c r="C198" s="10">
        <f t="shared" si="15"/>
        <v>2726.6545721843722</v>
      </c>
      <c r="D198" s="10">
        <f t="shared" si="18"/>
        <v>1022.8815926174879</v>
      </c>
      <c r="E198" s="10">
        <f t="shared" si="19"/>
        <v>224014.1075353072</v>
      </c>
    </row>
    <row r="199" spans="1:5" ht="12.75">
      <c r="A199" s="39">
        <f t="shared" si="16"/>
        <v>2028</v>
      </c>
      <c r="B199" s="39">
        <f t="shared" si="17"/>
        <v>6</v>
      </c>
      <c r="C199" s="10">
        <f t="shared" si="15"/>
        <v>2726.6545721843722</v>
      </c>
      <c r="D199" s="10">
        <f t="shared" si="18"/>
        <v>1015.1606357538903</v>
      </c>
      <c r="E199" s="10">
        <f t="shared" si="19"/>
        <v>222302.61359887672</v>
      </c>
    </row>
    <row r="200" spans="1:5" ht="12.75">
      <c r="A200" s="39">
        <f t="shared" si="16"/>
        <v>2028</v>
      </c>
      <c r="B200" s="39">
        <f t="shared" si="17"/>
        <v>7</v>
      </c>
      <c r="C200" s="10">
        <f t="shared" si="15"/>
        <v>2726.6545721843722</v>
      </c>
      <c r="D200" s="10">
        <f t="shared" si="18"/>
        <v>1007.4046899712263</v>
      </c>
      <c r="E200" s="10">
        <f t="shared" si="19"/>
        <v>220583.36371666356</v>
      </c>
    </row>
    <row r="201" spans="1:5" ht="12.75">
      <c r="A201" s="39">
        <f t="shared" si="16"/>
        <v>2028</v>
      </c>
      <c r="B201" s="39">
        <f t="shared" si="17"/>
        <v>8</v>
      </c>
      <c r="C201" s="10">
        <f t="shared" si="15"/>
        <v>2726.6545721843722</v>
      </c>
      <c r="D201" s="10">
        <f t="shared" si="18"/>
        <v>999.6135967108511</v>
      </c>
      <c r="E201" s="10">
        <f t="shared" si="19"/>
        <v>218856.32274119003</v>
      </c>
    </row>
    <row r="202" spans="1:5" ht="12.75">
      <c r="A202" s="39">
        <f t="shared" si="16"/>
        <v>2028</v>
      </c>
      <c r="B202" s="39">
        <f t="shared" si="17"/>
        <v>9</v>
      </c>
      <c r="C202" s="10">
        <f t="shared" si="15"/>
        <v>2726.6545721843722</v>
      </c>
      <c r="D202" s="10">
        <f t="shared" si="18"/>
        <v>991.7871966955823</v>
      </c>
      <c r="E202" s="10">
        <f t="shared" si="19"/>
        <v>217121.45536570123</v>
      </c>
    </row>
    <row r="203" spans="1:5" ht="12.75">
      <c r="A203" s="39">
        <f t="shared" si="16"/>
        <v>2028</v>
      </c>
      <c r="B203" s="39">
        <f t="shared" si="17"/>
        <v>10</v>
      </c>
      <c r="C203" s="10">
        <f t="shared" si="15"/>
        <v>2726.6545721843722</v>
      </c>
      <c r="D203" s="10">
        <f t="shared" si="18"/>
        <v>983.9253299264445</v>
      </c>
      <c r="E203" s="10">
        <f t="shared" si="19"/>
        <v>215378.7261234433</v>
      </c>
    </row>
    <row r="204" spans="1:5" ht="12.75">
      <c r="A204" s="39">
        <f t="shared" si="16"/>
        <v>2028</v>
      </c>
      <c r="B204" s="39">
        <f t="shared" si="17"/>
        <v>11</v>
      </c>
      <c r="C204" s="10">
        <f t="shared" si="15"/>
        <v>2726.6545721843722</v>
      </c>
      <c r="D204" s="10">
        <f t="shared" si="18"/>
        <v>976.0278356793976</v>
      </c>
      <c r="E204" s="10">
        <f t="shared" si="19"/>
        <v>213628.09938693832</v>
      </c>
    </row>
    <row r="205" spans="1:5" ht="12.75">
      <c r="A205" s="39">
        <f t="shared" si="16"/>
        <v>2028</v>
      </c>
      <c r="B205" s="39">
        <f t="shared" si="17"/>
        <v>12</v>
      </c>
      <c r="C205" s="10">
        <f t="shared" si="15"/>
        <v>2726.6545721843722</v>
      </c>
      <c r="D205" s="10">
        <f t="shared" si="18"/>
        <v>968.0945525020511</v>
      </c>
      <c r="E205" s="10">
        <f t="shared" si="19"/>
        <v>211869.53936725602</v>
      </c>
    </row>
    <row r="206" spans="1:5" ht="12.75">
      <c r="A206" s="39">
        <f t="shared" si="16"/>
        <v>2029</v>
      </c>
      <c r="B206" s="39">
        <f t="shared" si="17"/>
        <v>1</v>
      </c>
      <c r="C206" s="10">
        <f t="shared" si="15"/>
        <v>2726.6545721843722</v>
      </c>
      <c r="D206" s="10">
        <f t="shared" si="18"/>
        <v>960.1253182103638</v>
      </c>
      <c r="E206" s="10">
        <f t="shared" si="19"/>
        <v>210103.010113282</v>
      </c>
    </row>
    <row r="207" spans="1:5" ht="12.75">
      <c r="A207" s="39">
        <f t="shared" si="16"/>
        <v>2029</v>
      </c>
      <c r="B207" s="39">
        <f t="shared" si="17"/>
        <v>2</v>
      </c>
      <c r="C207" s="10">
        <f t="shared" si="15"/>
        <v>2726.6545721843722</v>
      </c>
      <c r="D207" s="10">
        <f t="shared" si="18"/>
        <v>952.1199698853284</v>
      </c>
      <c r="E207" s="10">
        <f t="shared" si="19"/>
        <v>208328.47551098297</v>
      </c>
    </row>
    <row r="208" spans="1:5" ht="12.75">
      <c r="A208" s="39">
        <f t="shared" si="16"/>
        <v>2029</v>
      </c>
      <c r="B208" s="39">
        <f t="shared" si="17"/>
        <v>3</v>
      </c>
      <c r="C208" s="10">
        <f t="shared" si="15"/>
        <v>2726.6545721843722</v>
      </c>
      <c r="D208" s="10">
        <f t="shared" si="18"/>
        <v>944.0783438696399</v>
      </c>
      <c r="E208" s="10">
        <f t="shared" si="19"/>
        <v>206545.89928266825</v>
      </c>
    </row>
    <row r="209" spans="1:5" ht="12.75">
      <c r="A209" s="39">
        <f t="shared" si="16"/>
        <v>2029</v>
      </c>
      <c r="B209" s="39">
        <f t="shared" si="17"/>
        <v>4</v>
      </c>
      <c r="C209" s="10">
        <f t="shared" si="15"/>
        <v>2726.6545721843722</v>
      </c>
      <c r="D209" s="10">
        <f t="shared" si="18"/>
        <v>936.0002757643509</v>
      </c>
      <c r="E209" s="10">
        <f t="shared" si="19"/>
        <v>204755.24498624823</v>
      </c>
    </row>
    <row r="210" spans="1:5" ht="12.75">
      <c r="A210" s="39">
        <f t="shared" si="16"/>
        <v>2029</v>
      </c>
      <c r="B210" s="39">
        <f t="shared" si="17"/>
        <v>5</v>
      </c>
      <c r="C210" s="10">
        <f t="shared" si="15"/>
        <v>2726.6545721843722</v>
      </c>
      <c r="D210" s="10">
        <f t="shared" si="18"/>
        <v>927.8856004255101</v>
      </c>
      <c r="E210" s="10">
        <f t="shared" si="19"/>
        <v>202956.47601448937</v>
      </c>
    </row>
    <row r="211" spans="1:5" ht="12.75">
      <c r="A211" s="39">
        <f t="shared" si="16"/>
        <v>2029</v>
      </c>
      <c r="B211" s="39">
        <f t="shared" si="17"/>
        <v>6</v>
      </c>
      <c r="C211" s="10">
        <f t="shared" si="15"/>
        <v>2726.6545721843722</v>
      </c>
      <c r="D211" s="10">
        <f t="shared" si="18"/>
        <v>919.7341519607866</v>
      </c>
      <c r="E211" s="10">
        <f t="shared" si="19"/>
        <v>201149.55559426578</v>
      </c>
    </row>
    <row r="212" spans="1:5" ht="12.75">
      <c r="A212" s="39">
        <f t="shared" si="16"/>
        <v>2029</v>
      </c>
      <c r="B212" s="39">
        <f t="shared" si="17"/>
        <v>7</v>
      </c>
      <c r="C212" s="10">
        <f t="shared" si="15"/>
        <v>2726.6545721843722</v>
      </c>
      <c r="D212" s="10">
        <f t="shared" si="18"/>
        <v>911.5457637260779</v>
      </c>
      <c r="E212" s="10">
        <f t="shared" si="19"/>
        <v>199334.4467858075</v>
      </c>
    </row>
    <row r="213" spans="1:5" ht="12.75">
      <c r="A213" s="39">
        <f t="shared" si="16"/>
        <v>2029</v>
      </c>
      <c r="B213" s="39">
        <f t="shared" si="17"/>
        <v>8</v>
      </c>
      <c r="C213" s="10">
        <f t="shared" si="15"/>
        <v>2726.6545721843722</v>
      </c>
      <c r="D213" s="10">
        <f t="shared" si="18"/>
        <v>903.320268322104</v>
      </c>
      <c r="E213" s="10">
        <f t="shared" si="19"/>
        <v>197511.11248194522</v>
      </c>
    </row>
    <row r="214" spans="1:5" ht="12.75">
      <c r="A214" s="39">
        <f t="shared" si="16"/>
        <v>2029</v>
      </c>
      <c r="B214" s="39">
        <f t="shared" si="17"/>
        <v>9</v>
      </c>
      <c r="C214" s="10">
        <f t="shared" si="15"/>
        <v>2726.6545721843722</v>
      </c>
      <c r="D214" s="10">
        <f t="shared" si="18"/>
        <v>895.057497590984</v>
      </c>
      <c r="E214" s="10">
        <f t="shared" si="19"/>
        <v>195679.51540735184</v>
      </c>
    </row>
    <row r="215" spans="1:5" ht="12.75">
      <c r="A215" s="39">
        <f t="shared" si="16"/>
        <v>2029</v>
      </c>
      <c r="B215" s="39">
        <f t="shared" si="17"/>
        <v>10</v>
      </c>
      <c r="C215" s="10">
        <f t="shared" si="15"/>
        <v>2726.6545721843722</v>
      </c>
      <c r="D215" s="10">
        <f t="shared" si="18"/>
        <v>886.7572826127995</v>
      </c>
      <c r="E215" s="10">
        <f t="shared" si="19"/>
        <v>193839.61811778025</v>
      </c>
    </row>
    <row r="216" spans="1:5" ht="12.75">
      <c r="A216" s="39">
        <f t="shared" si="16"/>
        <v>2029</v>
      </c>
      <c r="B216" s="39">
        <f t="shared" si="17"/>
        <v>11</v>
      </c>
      <c r="C216" s="10">
        <f t="shared" si="15"/>
        <v>2726.6545721843722</v>
      </c>
      <c r="D216" s="10">
        <f t="shared" si="18"/>
        <v>878.4194537021405</v>
      </c>
      <c r="E216" s="10">
        <f t="shared" si="19"/>
        <v>191991.38299929802</v>
      </c>
    </row>
    <row r="217" spans="1:5" ht="12.75">
      <c r="A217" s="39">
        <f t="shared" si="16"/>
        <v>2029</v>
      </c>
      <c r="B217" s="39">
        <f t="shared" si="17"/>
        <v>12</v>
      </c>
      <c r="C217" s="10">
        <f t="shared" si="15"/>
        <v>2726.6545721843722</v>
      </c>
      <c r="D217" s="10">
        <f t="shared" si="18"/>
        <v>870.0438404046371</v>
      </c>
      <c r="E217" s="10">
        <f t="shared" si="19"/>
        <v>190134.77226751827</v>
      </c>
    </row>
    <row r="218" spans="1:5" ht="12.75">
      <c r="A218" s="39">
        <f t="shared" si="16"/>
        <v>2030</v>
      </c>
      <c r="B218" s="39">
        <f t="shared" si="17"/>
        <v>1</v>
      </c>
      <c r="C218" s="10">
        <f t="shared" si="15"/>
        <v>2726.6545721843722</v>
      </c>
      <c r="D218" s="10">
        <f t="shared" si="18"/>
        <v>861.6302714934739</v>
      </c>
      <c r="E218" s="10">
        <f t="shared" si="19"/>
        <v>188269.7479668274</v>
      </c>
    </row>
    <row r="219" spans="1:5" ht="12.75">
      <c r="A219" s="39">
        <f t="shared" si="16"/>
        <v>2030</v>
      </c>
      <c r="B219" s="39">
        <f t="shared" si="17"/>
        <v>2</v>
      </c>
      <c r="C219" s="10">
        <f t="shared" si="15"/>
        <v>2726.6545721843722</v>
      </c>
      <c r="D219" s="10">
        <f t="shared" si="18"/>
        <v>853.1785749658907</v>
      </c>
      <c r="E219" s="10">
        <f t="shared" si="19"/>
        <v>186396.2719696089</v>
      </c>
    </row>
    <row r="220" spans="1:5" ht="12.75">
      <c r="A220" s="39">
        <f t="shared" si="16"/>
        <v>2030</v>
      </c>
      <c r="B220" s="39">
        <f t="shared" si="17"/>
        <v>3</v>
      </c>
      <c r="C220" s="10">
        <f t="shared" si="15"/>
        <v>2726.6545721843722</v>
      </c>
      <c r="D220" s="10">
        <f t="shared" si="18"/>
        <v>844.6885780396649</v>
      </c>
      <c r="E220" s="10">
        <f t="shared" si="19"/>
        <v>184514.3059754642</v>
      </c>
    </row>
    <row r="221" spans="1:5" ht="12.75">
      <c r="A221" s="39">
        <f t="shared" si="16"/>
        <v>2030</v>
      </c>
      <c r="B221" s="39">
        <f t="shared" si="17"/>
        <v>4</v>
      </c>
      <c r="C221" s="10">
        <f t="shared" si="15"/>
        <v>2726.6545721843722</v>
      </c>
      <c r="D221" s="10">
        <f t="shared" si="18"/>
        <v>836.1601071495803</v>
      </c>
      <c r="E221" s="10">
        <f t="shared" si="19"/>
        <v>182623.8115104294</v>
      </c>
    </row>
    <row r="222" spans="1:5" ht="12.75">
      <c r="A222" s="39">
        <f t="shared" si="16"/>
        <v>2030</v>
      </c>
      <c r="B222" s="39">
        <f t="shared" si="17"/>
        <v>5</v>
      </c>
      <c r="C222" s="10">
        <f t="shared" si="15"/>
        <v>2726.6545721843722</v>
      </c>
      <c r="D222" s="10">
        <f t="shared" si="18"/>
        <v>827.5929879438783</v>
      </c>
      <c r="E222" s="10">
        <f t="shared" si="19"/>
        <v>180724.7499261889</v>
      </c>
    </row>
    <row r="223" spans="1:5" ht="12.75">
      <c r="A223" s="39">
        <f t="shared" si="16"/>
        <v>2030</v>
      </c>
      <c r="B223" s="39">
        <f t="shared" si="17"/>
        <v>6</v>
      </c>
      <c r="C223" s="10">
        <f t="shared" si="15"/>
        <v>2726.6545721843722</v>
      </c>
      <c r="D223" s="10">
        <f t="shared" si="18"/>
        <v>818.9870452806935</v>
      </c>
      <c r="E223" s="10">
        <f t="shared" si="19"/>
        <v>178817.08239928522</v>
      </c>
    </row>
    <row r="224" spans="1:5" ht="12.75">
      <c r="A224" s="39">
        <f t="shared" si="16"/>
        <v>2030</v>
      </c>
      <c r="B224" s="39">
        <f t="shared" si="17"/>
        <v>7</v>
      </c>
      <c r="C224" s="10">
        <f t="shared" si="15"/>
        <v>2726.6545721843722</v>
      </c>
      <c r="D224" s="10">
        <f t="shared" si="18"/>
        <v>810.3421032244732</v>
      </c>
      <c r="E224" s="10">
        <f t="shared" si="19"/>
        <v>176900.76993032533</v>
      </c>
    </row>
    <row r="225" spans="1:5" ht="12.75">
      <c r="A225" s="39">
        <f t="shared" si="16"/>
        <v>2030</v>
      </c>
      <c r="B225" s="39">
        <f t="shared" si="17"/>
        <v>8</v>
      </c>
      <c r="C225" s="10">
        <f t="shared" si="15"/>
        <v>2726.6545721843722</v>
      </c>
      <c r="D225" s="10">
        <f t="shared" si="18"/>
        <v>801.6579850423815</v>
      </c>
      <c r="E225" s="10">
        <f t="shared" si="19"/>
        <v>174975.77334318333</v>
      </c>
    </row>
    <row r="226" spans="1:5" ht="12.75">
      <c r="A226" s="39">
        <f t="shared" si="16"/>
        <v>2030</v>
      </c>
      <c r="B226" s="39">
        <f t="shared" si="17"/>
        <v>9</v>
      </c>
      <c r="C226" s="10">
        <f t="shared" si="15"/>
        <v>2726.6545721843722</v>
      </c>
      <c r="D226" s="10">
        <f t="shared" si="18"/>
        <v>792.9345132006845</v>
      </c>
      <c r="E226" s="10">
        <f t="shared" si="19"/>
        <v>173042.05328419965</v>
      </c>
    </row>
    <row r="227" spans="1:5" ht="12.75">
      <c r="A227" s="39">
        <f t="shared" si="16"/>
        <v>2030</v>
      </c>
      <c r="B227" s="39">
        <f t="shared" si="17"/>
        <v>10</v>
      </c>
      <c r="C227" s="10">
        <f t="shared" si="15"/>
        <v>2726.6545721843722</v>
      </c>
      <c r="D227" s="10">
        <f t="shared" si="18"/>
        <v>784.1715093611226</v>
      </c>
      <c r="E227" s="10">
        <f t="shared" si="19"/>
        <v>171099.5702213764</v>
      </c>
    </row>
    <row r="228" spans="1:5" ht="12.75">
      <c r="A228" s="39">
        <f t="shared" si="16"/>
        <v>2030</v>
      </c>
      <c r="B228" s="39">
        <f t="shared" si="17"/>
        <v>11</v>
      </c>
      <c r="C228" s="10">
        <f t="shared" si="15"/>
        <v>2726.6545721843722</v>
      </c>
      <c r="D228" s="10">
        <f t="shared" si="18"/>
        <v>775.3687943772637</v>
      </c>
      <c r="E228" s="10">
        <f t="shared" si="19"/>
        <v>169148.28444356928</v>
      </c>
    </row>
    <row r="229" spans="1:5" ht="12.75">
      <c r="A229" s="39">
        <f t="shared" si="16"/>
        <v>2030</v>
      </c>
      <c r="B229" s="39">
        <f t="shared" si="17"/>
        <v>12</v>
      </c>
      <c r="C229" s="10">
        <f t="shared" si="15"/>
        <v>2726.6545721843722</v>
      </c>
      <c r="D229" s="10">
        <f t="shared" si="18"/>
        <v>766.5261882908413</v>
      </c>
      <c r="E229" s="10">
        <f t="shared" si="19"/>
        <v>167188.15605967576</v>
      </c>
    </row>
    <row r="230" spans="1:5" ht="12.75">
      <c r="A230" s="39">
        <f t="shared" si="16"/>
        <v>2031</v>
      </c>
      <c r="B230" s="39">
        <f t="shared" si="17"/>
        <v>1</v>
      </c>
      <c r="C230" s="10">
        <f t="shared" si="15"/>
        <v>2726.6545721843722</v>
      </c>
      <c r="D230" s="10">
        <f t="shared" si="18"/>
        <v>757.6435103280752</v>
      </c>
      <c r="E230" s="10">
        <f t="shared" si="19"/>
        <v>165219.14499781947</v>
      </c>
    </row>
    <row r="231" spans="1:5" ht="12.75">
      <c r="A231" s="39">
        <f t="shared" si="16"/>
        <v>2031</v>
      </c>
      <c r="B231" s="39">
        <f t="shared" si="17"/>
        <v>2</v>
      </c>
      <c r="C231" s="10">
        <f t="shared" si="15"/>
        <v>2726.6545721843722</v>
      </c>
      <c r="D231" s="10">
        <f t="shared" si="18"/>
        <v>748.7205788959759</v>
      </c>
      <c r="E231" s="10">
        <f t="shared" si="19"/>
        <v>163241.21100453107</v>
      </c>
    </row>
    <row r="232" spans="1:5" ht="12.75">
      <c r="A232" s="39">
        <f t="shared" si="16"/>
        <v>2031</v>
      </c>
      <c r="B232" s="39">
        <f t="shared" si="17"/>
        <v>3</v>
      </c>
      <c r="C232" s="10">
        <f t="shared" si="15"/>
        <v>2726.6545721843722</v>
      </c>
      <c r="D232" s="10">
        <f t="shared" si="18"/>
        <v>739.7572115786322</v>
      </c>
      <c r="E232" s="10">
        <f t="shared" si="19"/>
        <v>161254.31364392533</v>
      </c>
    </row>
    <row r="233" spans="1:5" ht="12.75">
      <c r="A233" s="39">
        <f t="shared" si="16"/>
        <v>2031</v>
      </c>
      <c r="B233" s="39">
        <f t="shared" si="17"/>
        <v>4</v>
      </c>
      <c r="C233" s="10">
        <f t="shared" si="15"/>
        <v>2726.6545721843722</v>
      </c>
      <c r="D233" s="10">
        <f t="shared" si="18"/>
        <v>730.7532251334823</v>
      </c>
      <c r="E233" s="10">
        <f t="shared" si="19"/>
        <v>159258.41229687445</v>
      </c>
    </row>
    <row r="234" spans="1:5" ht="12.75">
      <c r="A234" s="39">
        <f t="shared" si="16"/>
        <v>2031</v>
      </c>
      <c r="B234" s="39">
        <f t="shared" si="17"/>
        <v>5</v>
      </c>
      <c r="C234" s="10">
        <f t="shared" si="15"/>
        <v>2726.6545721843722</v>
      </c>
      <c r="D234" s="10">
        <f t="shared" si="18"/>
        <v>721.7084354875674</v>
      </c>
      <c r="E234" s="10">
        <f t="shared" si="19"/>
        <v>157253.46616017763</v>
      </c>
    </row>
    <row r="235" spans="1:5" ht="12.75">
      <c r="A235" s="39">
        <f t="shared" si="16"/>
        <v>2031</v>
      </c>
      <c r="B235" s="39">
        <f t="shared" si="17"/>
        <v>6</v>
      </c>
      <c r="C235" s="10">
        <f t="shared" si="15"/>
        <v>2726.6545721843722</v>
      </c>
      <c r="D235" s="10">
        <f t="shared" si="18"/>
        <v>712.6226577337683</v>
      </c>
      <c r="E235" s="10">
        <f t="shared" si="19"/>
        <v>155239.43424572702</v>
      </c>
    </row>
    <row r="236" spans="1:5" ht="12.75">
      <c r="A236" s="39">
        <f t="shared" si="16"/>
        <v>2031</v>
      </c>
      <c r="B236" s="39">
        <f t="shared" si="17"/>
        <v>7</v>
      </c>
      <c r="C236" s="10">
        <f t="shared" si="15"/>
        <v>2726.6545721843722</v>
      </c>
      <c r="D236" s="10">
        <f t="shared" si="18"/>
        <v>703.4957061270261</v>
      </c>
      <c r="E236" s="10">
        <f t="shared" si="19"/>
        <v>153216.27537966968</v>
      </c>
    </row>
    <row r="237" spans="1:5" ht="12.75">
      <c r="A237" s="39">
        <f t="shared" si="16"/>
        <v>2031</v>
      </c>
      <c r="B237" s="39">
        <f t="shared" si="17"/>
        <v>8</v>
      </c>
      <c r="C237" s="10">
        <f t="shared" si="15"/>
        <v>2726.6545721843722</v>
      </c>
      <c r="D237" s="10">
        <f t="shared" si="18"/>
        <v>694.327394080544</v>
      </c>
      <c r="E237" s="10">
        <f t="shared" si="19"/>
        <v>151183.94820156586</v>
      </c>
    </row>
    <row r="238" spans="1:5" ht="12.75">
      <c r="A238" s="39">
        <f t="shared" si="16"/>
        <v>2031</v>
      </c>
      <c r="B238" s="39">
        <f t="shared" si="17"/>
        <v>9</v>
      </c>
      <c r="C238" s="10">
        <f t="shared" si="15"/>
        <v>2726.6545721843722</v>
      </c>
      <c r="D238" s="10">
        <f t="shared" si="18"/>
        <v>685.1175341619734</v>
      </c>
      <c r="E238" s="10">
        <f t="shared" si="19"/>
        <v>149142.41116354347</v>
      </c>
    </row>
    <row r="239" spans="1:5" ht="12.75">
      <c r="A239" s="39">
        <f t="shared" si="16"/>
        <v>2031</v>
      </c>
      <c r="B239" s="39">
        <f t="shared" si="17"/>
        <v>10</v>
      </c>
      <c r="C239" s="10">
        <f t="shared" si="15"/>
        <v>2726.6545721843722</v>
      </c>
      <c r="D239" s="10">
        <f t="shared" si="18"/>
        <v>675.865938089582</v>
      </c>
      <c r="E239" s="10">
        <f t="shared" si="19"/>
        <v>147091.62252944868</v>
      </c>
    </row>
    <row r="240" spans="1:5" ht="12.75">
      <c r="A240" s="39">
        <f t="shared" si="16"/>
        <v>2031</v>
      </c>
      <c r="B240" s="39">
        <f t="shared" si="17"/>
        <v>11</v>
      </c>
      <c r="C240" s="10">
        <f t="shared" si="15"/>
        <v>2726.6545721843722</v>
      </c>
      <c r="D240" s="10">
        <f t="shared" si="18"/>
        <v>666.5724167284043</v>
      </c>
      <c r="E240" s="10">
        <f t="shared" si="19"/>
        <v>145031.5403739927</v>
      </c>
    </row>
    <row r="241" spans="1:5" ht="12.75">
      <c r="A241" s="39">
        <f t="shared" si="16"/>
        <v>2031</v>
      </c>
      <c r="B241" s="39">
        <f t="shared" si="17"/>
        <v>12</v>
      </c>
      <c r="C241" s="10">
        <f t="shared" si="15"/>
        <v>2726.6545721843722</v>
      </c>
      <c r="D241" s="10">
        <f t="shared" si="18"/>
        <v>657.2367800863758</v>
      </c>
      <c r="E241" s="10">
        <f t="shared" si="19"/>
        <v>142962.1225818947</v>
      </c>
    </row>
    <row r="242" spans="1:5" ht="12.75">
      <c r="A242" s="39">
        <f t="shared" si="16"/>
        <v>2032</v>
      </c>
      <c r="B242" s="39">
        <f t="shared" si="17"/>
        <v>1</v>
      </c>
      <c r="C242" s="10">
        <f t="shared" si="15"/>
        <v>2726.6545721843722</v>
      </c>
      <c r="D242" s="10">
        <f t="shared" si="18"/>
        <v>647.8588373104482</v>
      </c>
      <c r="E242" s="10">
        <f t="shared" si="19"/>
        <v>140883.3268470208</v>
      </c>
    </row>
    <row r="243" spans="1:5" ht="12.75">
      <c r="A243" s="39">
        <f t="shared" si="16"/>
        <v>2032</v>
      </c>
      <c r="B243" s="39">
        <f t="shared" si="17"/>
        <v>2</v>
      </c>
      <c r="C243" s="10">
        <f t="shared" si="15"/>
        <v>2726.6545721843722</v>
      </c>
      <c r="D243" s="10">
        <f t="shared" si="18"/>
        <v>638.4383966826879</v>
      </c>
      <c r="E243" s="10">
        <f t="shared" si="19"/>
        <v>138795.11067151913</v>
      </c>
    </row>
    <row r="244" spans="1:5" ht="12.75">
      <c r="A244" s="39">
        <f t="shared" si="16"/>
        <v>2032</v>
      </c>
      <c r="B244" s="39">
        <f t="shared" si="17"/>
        <v>3</v>
      </c>
      <c r="C244" s="10">
        <f t="shared" si="15"/>
        <v>2726.6545721843722</v>
      </c>
      <c r="D244" s="10">
        <f t="shared" si="18"/>
        <v>628.9752656163566</v>
      </c>
      <c r="E244" s="10">
        <f t="shared" si="19"/>
        <v>136697.4313649511</v>
      </c>
    </row>
    <row r="245" spans="1:5" ht="12.75">
      <c r="A245" s="39">
        <f t="shared" si="16"/>
        <v>2032</v>
      </c>
      <c r="B245" s="39">
        <f t="shared" si="17"/>
        <v>4</v>
      </c>
      <c r="C245" s="10">
        <f t="shared" si="15"/>
        <v>2726.6545721843722</v>
      </c>
      <c r="D245" s="10">
        <f t="shared" si="18"/>
        <v>619.4692506519743</v>
      </c>
      <c r="E245" s="10">
        <f t="shared" si="19"/>
        <v>134590.2460434187</v>
      </c>
    </row>
    <row r="246" spans="1:5" ht="12.75">
      <c r="A246" s="39">
        <f t="shared" si="16"/>
        <v>2032</v>
      </c>
      <c r="B246" s="39">
        <f t="shared" si="17"/>
        <v>5</v>
      </c>
      <c r="C246" s="10">
        <f t="shared" si="15"/>
        <v>2726.6545721843722</v>
      </c>
      <c r="D246" s="10">
        <f t="shared" si="18"/>
        <v>609.9201574533643</v>
      </c>
      <c r="E246" s="10">
        <f t="shared" si="19"/>
        <v>132473.5116286877</v>
      </c>
    </row>
    <row r="247" spans="1:5" ht="12.75">
      <c r="A247" s="39">
        <f t="shared" si="16"/>
        <v>2032</v>
      </c>
      <c r="B247" s="39">
        <f t="shared" si="17"/>
        <v>6</v>
      </c>
      <c r="C247" s="10">
        <f t="shared" si="15"/>
        <v>2726.6545721843722</v>
      </c>
      <c r="D247" s="10">
        <f t="shared" si="18"/>
        <v>600.32779080368</v>
      </c>
      <c r="E247" s="10">
        <f t="shared" si="19"/>
        <v>130347.18484730701</v>
      </c>
    </row>
    <row r="248" spans="1:5" ht="12.75">
      <c r="A248" s="39">
        <f t="shared" si="16"/>
        <v>2032</v>
      </c>
      <c r="B248" s="39">
        <f t="shared" si="17"/>
        <v>7</v>
      </c>
      <c r="C248" s="10">
        <f t="shared" si="15"/>
        <v>2726.6545721843722</v>
      </c>
      <c r="D248" s="10">
        <f t="shared" si="18"/>
        <v>590.6919546014144</v>
      </c>
      <c r="E248" s="10">
        <f t="shared" si="19"/>
        <v>128211.22222972405</v>
      </c>
    </row>
    <row r="249" spans="1:5" ht="12.75">
      <c r="A249" s="39">
        <f t="shared" si="16"/>
        <v>2032</v>
      </c>
      <c r="B249" s="39">
        <f t="shared" si="17"/>
        <v>8</v>
      </c>
      <c r="C249" s="10">
        <f t="shared" si="15"/>
        <v>2726.6545721843722</v>
      </c>
      <c r="D249" s="10">
        <f t="shared" si="18"/>
        <v>581.0124518563906</v>
      </c>
      <c r="E249" s="10">
        <f t="shared" si="19"/>
        <v>126065.58010939608</v>
      </c>
    </row>
    <row r="250" spans="1:5" ht="12.75">
      <c r="A250" s="39">
        <f t="shared" si="16"/>
        <v>2032</v>
      </c>
      <c r="B250" s="39">
        <f t="shared" si="17"/>
        <v>9</v>
      </c>
      <c r="C250" s="10">
        <f t="shared" si="15"/>
        <v>2726.6545721843722</v>
      </c>
      <c r="D250" s="10">
        <f t="shared" si="18"/>
        <v>571.2890846857351</v>
      </c>
      <c r="E250" s="10">
        <f t="shared" si="19"/>
        <v>123910.21462189744</v>
      </c>
    </row>
    <row r="251" spans="1:5" ht="12.75">
      <c r="A251" s="39">
        <f t="shared" si="16"/>
        <v>2032</v>
      </c>
      <c r="B251" s="39">
        <f t="shared" si="17"/>
        <v>10</v>
      </c>
      <c r="C251" s="10">
        <f t="shared" si="15"/>
        <v>2726.6545721843722</v>
      </c>
      <c r="D251" s="10">
        <f t="shared" si="18"/>
        <v>561.5216543098325</v>
      </c>
      <c r="E251" s="10">
        <f t="shared" si="19"/>
        <v>121745.0817040229</v>
      </c>
    </row>
    <row r="252" spans="1:5" ht="12.75">
      <c r="A252" s="39">
        <f t="shared" si="16"/>
        <v>2032</v>
      </c>
      <c r="B252" s="39">
        <f t="shared" si="17"/>
        <v>11</v>
      </c>
      <c r="C252" s="10">
        <f t="shared" si="15"/>
        <v>2726.6545721843722</v>
      </c>
      <c r="D252" s="10">
        <f t="shared" si="18"/>
        <v>551.7099610482607</v>
      </c>
      <c r="E252" s="10">
        <f t="shared" si="19"/>
        <v>119570.13709288678</v>
      </c>
    </row>
    <row r="253" spans="1:5" ht="12.75">
      <c r="A253" s="39">
        <f t="shared" si="16"/>
        <v>2032</v>
      </c>
      <c r="B253" s="39">
        <f t="shared" si="17"/>
        <v>12</v>
      </c>
      <c r="C253" s="10">
        <f t="shared" si="15"/>
        <v>2726.6545721843722</v>
      </c>
      <c r="D253" s="10">
        <f t="shared" si="18"/>
        <v>541.85380431571</v>
      </c>
      <c r="E253" s="10">
        <f t="shared" si="19"/>
        <v>117385.33632501813</v>
      </c>
    </row>
    <row r="254" spans="1:5" ht="12.75">
      <c r="A254" s="39">
        <f t="shared" si="16"/>
        <v>2033</v>
      </c>
      <c r="B254" s="39">
        <f t="shared" si="17"/>
        <v>1</v>
      </c>
      <c r="C254" s="10">
        <f t="shared" si="15"/>
        <v>2726.6545721843722</v>
      </c>
      <c r="D254" s="10">
        <f t="shared" si="18"/>
        <v>531.9529826178821</v>
      </c>
      <c r="E254" s="10">
        <f t="shared" si="19"/>
        <v>115190.63473545163</v>
      </c>
    </row>
    <row r="255" spans="1:5" ht="12.75">
      <c r="A255" s="39">
        <f t="shared" si="16"/>
        <v>2033</v>
      </c>
      <c r="B255" s="39">
        <f t="shared" si="17"/>
        <v>2</v>
      </c>
      <c r="C255" s="10">
        <f t="shared" si="15"/>
        <v>2726.6545721843722</v>
      </c>
      <c r="D255" s="10">
        <f t="shared" si="18"/>
        <v>522.0072935473701</v>
      </c>
      <c r="E255" s="10">
        <f t="shared" si="19"/>
        <v>112985.98745681463</v>
      </c>
    </row>
    <row r="256" spans="1:5" ht="12.75">
      <c r="A256" s="39">
        <f t="shared" si="16"/>
        <v>2033</v>
      </c>
      <c r="B256" s="39">
        <f t="shared" si="17"/>
        <v>3</v>
      </c>
      <c r="C256" s="10">
        <f t="shared" si="15"/>
        <v>2726.6545721843722</v>
      </c>
      <c r="D256" s="10">
        <f t="shared" si="18"/>
        <v>512.0165337795216</v>
      </c>
      <c r="E256" s="10">
        <f t="shared" si="19"/>
        <v>110771.34941840978</v>
      </c>
    </row>
    <row r="257" spans="1:5" ht="12.75">
      <c r="A257" s="39">
        <f t="shared" si="16"/>
        <v>2033</v>
      </c>
      <c r="B257" s="39">
        <f t="shared" si="17"/>
        <v>4</v>
      </c>
      <c r="C257" s="10">
        <f t="shared" si="15"/>
        <v>2726.6545721843722</v>
      </c>
      <c r="D257" s="10">
        <f t="shared" si="18"/>
        <v>501.9804990682815</v>
      </c>
      <c r="E257" s="10">
        <f t="shared" si="19"/>
        <v>108546.67534529368</v>
      </c>
    </row>
    <row r="258" spans="1:5" ht="12.75">
      <c r="A258" s="39">
        <f t="shared" si="16"/>
        <v>2033</v>
      </c>
      <c r="B258" s="39">
        <f t="shared" si="17"/>
        <v>5</v>
      </c>
      <c r="C258" s="10">
        <f aca="true" t="shared" si="20" ref="C258:C321">IF((((A258-$A$2)+1)&gt;10),$I$15,IF((((A258-$A$2)+1)&gt;5),$I$14,$I$13))</f>
        <v>2726.6545721843722</v>
      </c>
      <c r="D258" s="10">
        <f t="shared" si="18"/>
        <v>491.89898424201647</v>
      </c>
      <c r="E258" s="10">
        <f t="shared" si="19"/>
        <v>106311.91975735132</v>
      </c>
    </row>
    <row r="259" spans="1:5" ht="12.75">
      <c r="A259" s="39">
        <f aca="true" t="shared" si="21" ref="A259:A322">IF((B259=1),(A258+1),A258)</f>
        <v>2033</v>
      </c>
      <c r="B259" s="39">
        <f aca="true" t="shared" si="22" ref="B259:B322">IF((B258=12),1,(B258+1))</f>
        <v>6</v>
      </c>
      <c r="C259" s="10">
        <f t="shared" si="20"/>
        <v>2726.6545721843722</v>
      </c>
      <c r="D259" s="10">
        <f aca="true" t="shared" si="23" ref="D259:D322">IF((((A259-$A$2)+1)&gt;10),$H$15,IF((((A259-$A$2)+1)&gt;5),$H$14,$H$13))*E258</f>
        <v>481.77178319932074</v>
      </c>
      <c r="E259" s="10">
        <f aca="true" t="shared" si="24" ref="E259:E322">MAX((E258-(C259-D259)),0)</f>
        <v>104067.03696836627</v>
      </c>
    </row>
    <row r="260" spans="1:5" ht="12.75">
      <c r="A260" s="39">
        <f t="shared" si="21"/>
        <v>2033</v>
      </c>
      <c r="B260" s="39">
        <f t="shared" si="22"/>
        <v>7</v>
      </c>
      <c r="C260" s="10">
        <f t="shared" si="20"/>
        <v>2726.6545721843722</v>
      </c>
      <c r="D260" s="10">
        <f t="shared" si="23"/>
        <v>471.5986889048025</v>
      </c>
      <c r="E260" s="10">
        <f t="shared" si="24"/>
        <v>101811.9810850867</v>
      </c>
    </row>
    <row r="261" spans="1:5" ht="12.75">
      <c r="A261" s="39">
        <f t="shared" si="21"/>
        <v>2033</v>
      </c>
      <c r="B261" s="39">
        <f t="shared" si="22"/>
        <v>8</v>
      </c>
      <c r="C261" s="10">
        <f t="shared" si="20"/>
        <v>2726.6545721843722</v>
      </c>
      <c r="D261" s="10">
        <f t="shared" si="23"/>
        <v>461.37949338485146</v>
      </c>
      <c r="E261" s="10">
        <f t="shared" si="24"/>
        <v>99546.70600628719</v>
      </c>
    </row>
    <row r="262" spans="1:5" ht="12.75">
      <c r="A262" s="39">
        <f t="shared" si="21"/>
        <v>2033</v>
      </c>
      <c r="B262" s="39">
        <f t="shared" si="22"/>
        <v>9</v>
      </c>
      <c r="C262" s="10">
        <f t="shared" si="20"/>
        <v>2726.6545721843722</v>
      </c>
      <c r="D262" s="10">
        <f t="shared" si="23"/>
        <v>451.1139877233872</v>
      </c>
      <c r="E262" s="10">
        <f t="shared" si="24"/>
        <v>97271.16542182621</v>
      </c>
    </row>
    <row r="263" spans="1:5" ht="12.75">
      <c r="A263" s="39">
        <f t="shared" si="21"/>
        <v>2033</v>
      </c>
      <c r="B263" s="39">
        <f t="shared" si="22"/>
        <v>10</v>
      </c>
      <c r="C263" s="10">
        <f t="shared" si="20"/>
        <v>2726.6545721843722</v>
      </c>
      <c r="D263" s="10">
        <f t="shared" si="23"/>
        <v>440.801962057588</v>
      </c>
      <c r="E263" s="10">
        <f t="shared" si="24"/>
        <v>94985.31281169943</v>
      </c>
    </row>
    <row r="264" spans="1:5" ht="12.75">
      <c r="A264" s="39">
        <f t="shared" si="21"/>
        <v>2033</v>
      </c>
      <c r="B264" s="39">
        <f t="shared" si="22"/>
        <v>11</v>
      </c>
      <c r="C264" s="10">
        <f t="shared" si="20"/>
        <v>2726.6545721843722</v>
      </c>
      <c r="D264" s="10">
        <f t="shared" si="23"/>
        <v>430.4432055736007</v>
      </c>
      <c r="E264" s="10">
        <f t="shared" si="24"/>
        <v>92689.10144508866</v>
      </c>
    </row>
    <row r="265" spans="1:5" ht="12.75">
      <c r="A265" s="39">
        <f t="shared" si="21"/>
        <v>2033</v>
      </c>
      <c r="B265" s="39">
        <f t="shared" si="22"/>
        <v>12</v>
      </c>
      <c r="C265" s="10">
        <f t="shared" si="20"/>
        <v>2726.6545721843722</v>
      </c>
      <c r="D265" s="10">
        <f t="shared" si="23"/>
        <v>420.0375065022308</v>
      </c>
      <c r="E265" s="10">
        <f t="shared" si="24"/>
        <v>90382.48437940652</v>
      </c>
    </row>
    <row r="266" spans="1:5" ht="12.75">
      <c r="A266" s="39">
        <f t="shared" si="21"/>
        <v>2034</v>
      </c>
      <c r="B266" s="39">
        <f t="shared" si="22"/>
        <v>1</v>
      </c>
      <c r="C266" s="10">
        <f t="shared" si="20"/>
        <v>2726.6545721843722</v>
      </c>
      <c r="D266" s="10">
        <f t="shared" si="23"/>
        <v>409.58465211461333</v>
      </c>
      <c r="E266" s="10">
        <f t="shared" si="24"/>
        <v>88065.41445933677</v>
      </c>
    </row>
    <row r="267" spans="1:5" ht="12.75">
      <c r="A267" s="39">
        <f t="shared" si="21"/>
        <v>2034</v>
      </c>
      <c r="B267" s="39">
        <f t="shared" si="22"/>
        <v>2</v>
      </c>
      <c r="C267" s="10">
        <f t="shared" si="20"/>
        <v>2726.6545721843722</v>
      </c>
      <c r="D267" s="10">
        <f t="shared" si="23"/>
        <v>399.08442871786366</v>
      </c>
      <c r="E267" s="10">
        <f t="shared" si="24"/>
        <v>85737.84431587026</v>
      </c>
    </row>
    <row r="268" spans="1:5" ht="12.75">
      <c r="A268" s="39">
        <f t="shared" si="21"/>
        <v>2034</v>
      </c>
      <c r="B268" s="39">
        <f t="shared" si="22"/>
        <v>3</v>
      </c>
      <c r="C268" s="10">
        <f t="shared" si="20"/>
        <v>2726.6545721843722</v>
      </c>
      <c r="D268" s="10">
        <f t="shared" si="23"/>
        <v>388.5366216507091</v>
      </c>
      <c r="E268" s="10">
        <f t="shared" si="24"/>
        <v>83399.7263653366</v>
      </c>
    </row>
    <row r="269" spans="1:5" ht="12.75">
      <c r="A269" s="39">
        <f t="shared" si="21"/>
        <v>2034</v>
      </c>
      <c r="B269" s="39">
        <f t="shared" si="22"/>
        <v>4</v>
      </c>
      <c r="C269" s="10">
        <f t="shared" si="20"/>
        <v>2726.6545721843722</v>
      </c>
      <c r="D269" s="10">
        <f t="shared" si="23"/>
        <v>377.94101527910044</v>
      </c>
      <c r="E269" s="10">
        <f t="shared" si="24"/>
        <v>81051.01280843132</v>
      </c>
    </row>
    <row r="270" spans="1:5" ht="12.75">
      <c r="A270" s="39">
        <f t="shared" si="21"/>
        <v>2034</v>
      </c>
      <c r="B270" s="39">
        <f t="shared" si="22"/>
        <v>5</v>
      </c>
      <c r="C270" s="10">
        <f t="shared" si="20"/>
        <v>2726.6545721843722</v>
      </c>
      <c r="D270" s="10">
        <f t="shared" si="23"/>
        <v>367.2973929918034</v>
      </c>
      <c r="E270" s="10">
        <f t="shared" si="24"/>
        <v>78691.65562923875</v>
      </c>
    </row>
    <row r="271" spans="1:5" ht="12.75">
      <c r="A271" s="39">
        <f t="shared" si="21"/>
        <v>2034</v>
      </c>
      <c r="B271" s="39">
        <f t="shared" si="22"/>
        <v>6</v>
      </c>
      <c r="C271" s="10">
        <f t="shared" si="20"/>
        <v>2726.6545721843722</v>
      </c>
      <c r="D271" s="10">
        <f t="shared" si="23"/>
        <v>356.6055371959709</v>
      </c>
      <c r="E271" s="10">
        <f t="shared" si="24"/>
        <v>76321.60659425035</v>
      </c>
    </row>
    <row r="272" spans="1:5" ht="12.75">
      <c r="A272" s="39">
        <f t="shared" si="21"/>
        <v>2034</v>
      </c>
      <c r="B272" s="39">
        <f t="shared" si="22"/>
        <v>7</v>
      </c>
      <c r="C272" s="10">
        <f t="shared" si="20"/>
        <v>2726.6545721843722</v>
      </c>
      <c r="D272" s="10">
        <f t="shared" si="23"/>
        <v>345.8652293126939</v>
      </c>
      <c r="E272" s="10">
        <f t="shared" si="24"/>
        <v>73940.81725137867</v>
      </c>
    </row>
    <row r="273" spans="1:5" ht="12.75">
      <c r="A273" s="39">
        <f t="shared" si="21"/>
        <v>2034</v>
      </c>
      <c r="B273" s="39">
        <f t="shared" si="22"/>
        <v>8</v>
      </c>
      <c r="C273" s="10">
        <f t="shared" si="20"/>
        <v>2726.6545721843722</v>
      </c>
      <c r="D273" s="10">
        <f t="shared" si="23"/>
        <v>335.0762497725336</v>
      </c>
      <c r="E273" s="10">
        <f t="shared" si="24"/>
        <v>71549.23892896684</v>
      </c>
    </row>
    <row r="274" spans="1:5" ht="12.75">
      <c r="A274" s="39">
        <f t="shared" si="21"/>
        <v>2034</v>
      </c>
      <c r="B274" s="39">
        <f t="shared" si="22"/>
        <v>9</v>
      </c>
      <c r="C274" s="10">
        <f t="shared" si="20"/>
        <v>2726.6545721843722</v>
      </c>
      <c r="D274" s="10">
        <f t="shared" si="23"/>
        <v>324.23837801103224</v>
      </c>
      <c r="E274" s="10">
        <f t="shared" si="24"/>
        <v>69146.8227347935</v>
      </c>
    </row>
    <row r="275" spans="1:5" ht="12.75">
      <c r="A275" s="39">
        <f t="shared" si="21"/>
        <v>2034</v>
      </c>
      <c r="B275" s="39">
        <f t="shared" si="22"/>
        <v>10</v>
      </c>
      <c r="C275" s="10">
        <f t="shared" si="20"/>
        <v>2726.6545721843722</v>
      </c>
      <c r="D275" s="10">
        <f t="shared" si="23"/>
        <v>313.35139246420437</v>
      </c>
      <c r="E275" s="10">
        <f t="shared" si="24"/>
        <v>66733.51955507333</v>
      </c>
    </row>
    <row r="276" spans="1:5" ht="12.75">
      <c r="A276" s="39">
        <f t="shared" si="21"/>
        <v>2034</v>
      </c>
      <c r="B276" s="39">
        <f t="shared" si="22"/>
        <v>11</v>
      </c>
      <c r="C276" s="10">
        <f t="shared" si="20"/>
        <v>2726.6545721843722</v>
      </c>
      <c r="D276" s="10">
        <f t="shared" si="23"/>
        <v>302.4150705640067</v>
      </c>
      <c r="E276" s="10">
        <f t="shared" si="24"/>
        <v>64309.28005345297</v>
      </c>
    </row>
    <row r="277" spans="1:5" ht="12.75">
      <c r="A277" s="39">
        <f t="shared" si="21"/>
        <v>2034</v>
      </c>
      <c r="B277" s="39">
        <f t="shared" si="22"/>
        <v>12</v>
      </c>
      <c r="C277" s="10">
        <f t="shared" si="20"/>
        <v>2726.6545721843722</v>
      </c>
      <c r="D277" s="10">
        <f t="shared" si="23"/>
        <v>291.42918873378875</v>
      </c>
      <c r="E277" s="10">
        <f t="shared" si="24"/>
        <v>61874.054670002384</v>
      </c>
    </row>
    <row r="278" spans="1:5" ht="12.75">
      <c r="A278" s="39">
        <f t="shared" si="21"/>
        <v>2035</v>
      </c>
      <c r="B278" s="39">
        <f t="shared" si="22"/>
        <v>1</v>
      </c>
      <c r="C278" s="10">
        <f t="shared" si="20"/>
        <v>2726.6545721843722</v>
      </c>
      <c r="D278" s="10">
        <f t="shared" si="23"/>
        <v>280.39352238372163</v>
      </c>
      <c r="E278" s="10">
        <f t="shared" si="24"/>
        <v>59427.79362020173</v>
      </c>
    </row>
    <row r="279" spans="1:5" ht="12.75">
      <c r="A279" s="39">
        <f t="shared" si="21"/>
        <v>2035</v>
      </c>
      <c r="B279" s="39">
        <f t="shared" si="22"/>
        <v>2</v>
      </c>
      <c r="C279" s="10">
        <f t="shared" si="20"/>
        <v>2726.6545721843722</v>
      </c>
      <c r="D279" s="10">
        <f t="shared" si="23"/>
        <v>269.3078459062069</v>
      </c>
      <c r="E279" s="10">
        <f t="shared" si="24"/>
        <v>56970.44689392357</v>
      </c>
    </row>
    <row r="280" spans="1:5" ht="12.75">
      <c r="A280" s="39">
        <f t="shared" si="21"/>
        <v>2035</v>
      </c>
      <c r="B280" s="39">
        <f t="shared" si="22"/>
        <v>3</v>
      </c>
      <c r="C280" s="10">
        <f t="shared" si="20"/>
        <v>2726.6545721843722</v>
      </c>
      <c r="D280" s="10">
        <f t="shared" si="23"/>
        <v>258.1719326712643</v>
      </c>
      <c r="E280" s="10">
        <f t="shared" si="24"/>
        <v>54501.96425441046</v>
      </c>
    </row>
    <row r="281" spans="1:5" ht="12.75">
      <c r="A281" s="39">
        <f t="shared" si="21"/>
        <v>2035</v>
      </c>
      <c r="B281" s="39">
        <f t="shared" si="22"/>
        <v>4</v>
      </c>
      <c r="C281" s="10">
        <f t="shared" si="20"/>
        <v>2726.6545721843722</v>
      </c>
      <c r="D281" s="10">
        <f t="shared" si="23"/>
        <v>246.9855550218986</v>
      </c>
      <c r="E281" s="10">
        <f t="shared" si="24"/>
        <v>52022.295237247985</v>
      </c>
    </row>
    <row r="282" spans="1:5" ht="12.75">
      <c r="A282" s="39">
        <f t="shared" si="21"/>
        <v>2035</v>
      </c>
      <c r="B282" s="39">
        <f t="shared" si="22"/>
        <v>5</v>
      </c>
      <c r="C282" s="10">
        <f t="shared" si="20"/>
        <v>2726.6545721843722</v>
      </c>
      <c r="D282" s="10">
        <f t="shared" si="23"/>
        <v>235.7484842694455</v>
      </c>
      <c r="E282" s="10">
        <f t="shared" si="24"/>
        <v>49531.38914933306</v>
      </c>
    </row>
    <row r="283" spans="1:5" ht="12.75">
      <c r="A283" s="39">
        <f t="shared" si="21"/>
        <v>2035</v>
      </c>
      <c r="B283" s="39">
        <f t="shared" si="22"/>
        <v>6</v>
      </c>
      <c r="C283" s="10">
        <f t="shared" si="20"/>
        <v>2726.6545721843722</v>
      </c>
      <c r="D283" s="10">
        <f t="shared" si="23"/>
        <v>224.46049068889656</v>
      </c>
      <c r="E283" s="10">
        <f t="shared" si="24"/>
        <v>47029.19506783759</v>
      </c>
    </row>
    <row r="284" spans="1:5" ht="12.75">
      <c r="A284" s="39">
        <f t="shared" si="21"/>
        <v>2035</v>
      </c>
      <c r="B284" s="39">
        <f t="shared" si="22"/>
        <v>7</v>
      </c>
      <c r="C284" s="10">
        <f t="shared" si="20"/>
        <v>2726.6545721843722</v>
      </c>
      <c r="D284" s="10">
        <f t="shared" si="23"/>
        <v>213.1213435142026</v>
      </c>
      <c r="E284" s="10">
        <f t="shared" si="24"/>
        <v>44515.66183916742</v>
      </c>
    </row>
    <row r="285" spans="1:5" ht="12.75">
      <c r="A285" s="39">
        <f t="shared" si="21"/>
        <v>2035</v>
      </c>
      <c r="B285" s="39">
        <f t="shared" si="22"/>
        <v>8</v>
      </c>
      <c r="C285" s="10">
        <f t="shared" si="20"/>
        <v>2726.6545721843722</v>
      </c>
      <c r="D285" s="10">
        <f t="shared" si="23"/>
        <v>201.73081093355623</v>
      </c>
      <c r="E285" s="10">
        <f t="shared" si="24"/>
        <v>41990.738077916605</v>
      </c>
    </row>
    <row r="286" spans="1:5" ht="12.75">
      <c r="A286" s="39">
        <f t="shared" si="21"/>
        <v>2035</v>
      </c>
      <c r="B286" s="39">
        <f t="shared" si="22"/>
        <v>9</v>
      </c>
      <c r="C286" s="10">
        <f t="shared" si="20"/>
        <v>2726.6545721843722</v>
      </c>
      <c r="D286" s="10">
        <f t="shared" si="23"/>
        <v>190.2886600846527</v>
      </c>
      <c r="E286" s="10">
        <f t="shared" si="24"/>
        <v>39454.37216581689</v>
      </c>
    </row>
    <row r="287" spans="1:5" ht="12.75">
      <c r="A287" s="39">
        <f t="shared" si="21"/>
        <v>2035</v>
      </c>
      <c r="B287" s="39">
        <f t="shared" si="22"/>
        <v>10</v>
      </c>
      <c r="C287" s="10">
        <f t="shared" si="20"/>
        <v>2726.6545721843722</v>
      </c>
      <c r="D287" s="10">
        <f t="shared" si="23"/>
        <v>178.79465704992944</v>
      </c>
      <c r="E287" s="10">
        <f t="shared" si="24"/>
        <v>36906.51225068244</v>
      </c>
    </row>
    <row r="288" spans="1:5" ht="12.75">
      <c r="A288" s="39">
        <f t="shared" si="21"/>
        <v>2035</v>
      </c>
      <c r="B288" s="39">
        <f t="shared" si="22"/>
        <v>11</v>
      </c>
      <c r="C288" s="10">
        <f t="shared" si="20"/>
        <v>2726.6545721843722</v>
      </c>
      <c r="D288" s="10">
        <f t="shared" si="23"/>
        <v>167.24856685178386</v>
      </c>
      <c r="E288" s="10">
        <f t="shared" si="24"/>
        <v>34347.10624534985</v>
      </c>
    </row>
    <row r="289" spans="1:5" ht="12.75">
      <c r="A289" s="39">
        <f t="shared" si="21"/>
        <v>2035</v>
      </c>
      <c r="B289" s="39">
        <f t="shared" si="22"/>
        <v>12</v>
      </c>
      <c r="C289" s="10">
        <f t="shared" si="20"/>
        <v>2726.6545721843722</v>
      </c>
      <c r="D289" s="10">
        <f t="shared" si="23"/>
        <v>155.6501534477698</v>
      </c>
      <c r="E289" s="10">
        <f t="shared" si="24"/>
        <v>31776.10182661325</v>
      </c>
    </row>
    <row r="290" spans="1:5" ht="12.75">
      <c r="A290" s="39">
        <f t="shared" si="21"/>
        <v>2036</v>
      </c>
      <c r="B290" s="39">
        <f t="shared" si="22"/>
        <v>1</v>
      </c>
      <c r="C290" s="10">
        <f t="shared" si="20"/>
        <v>2726.6545721843722</v>
      </c>
      <c r="D290" s="10">
        <f t="shared" si="23"/>
        <v>143.99917972577174</v>
      </c>
      <c r="E290" s="10">
        <f t="shared" si="24"/>
        <v>29193.446434154648</v>
      </c>
    </row>
    <row r="291" spans="1:5" ht="12.75">
      <c r="A291" s="39">
        <f t="shared" si="21"/>
        <v>2036</v>
      </c>
      <c r="B291" s="39">
        <f t="shared" si="22"/>
        <v>2</v>
      </c>
      <c r="C291" s="10">
        <f t="shared" si="20"/>
        <v>2726.6545721843722</v>
      </c>
      <c r="D291" s="10">
        <f t="shared" si="23"/>
        <v>132.2954074991576</v>
      </c>
      <c r="E291" s="10">
        <f t="shared" si="24"/>
        <v>26599.087269469434</v>
      </c>
    </row>
    <row r="292" spans="1:5" ht="12.75">
      <c r="A292" s="39">
        <f t="shared" si="21"/>
        <v>2036</v>
      </c>
      <c r="B292" s="39">
        <f t="shared" si="22"/>
        <v>3</v>
      </c>
      <c r="C292" s="10">
        <f t="shared" si="20"/>
        <v>2726.6545721843722</v>
      </c>
      <c r="D292" s="10">
        <f t="shared" si="23"/>
        <v>120.5385975019092</v>
      </c>
      <c r="E292" s="10">
        <f t="shared" si="24"/>
        <v>23992.97129478697</v>
      </c>
    </row>
    <row r="293" spans="1:5" ht="12.75">
      <c r="A293" s="39">
        <f t="shared" si="21"/>
        <v>2036</v>
      </c>
      <c r="B293" s="39">
        <f t="shared" si="22"/>
        <v>4</v>
      </c>
      <c r="C293" s="10">
        <f t="shared" si="20"/>
        <v>2726.6545721843722</v>
      </c>
      <c r="D293" s="10">
        <f t="shared" si="23"/>
        <v>108.72850938373102</v>
      </c>
      <c r="E293" s="10">
        <f t="shared" si="24"/>
        <v>21375.04523198633</v>
      </c>
    </row>
    <row r="294" spans="1:5" ht="12.75">
      <c r="A294" s="39">
        <f t="shared" si="21"/>
        <v>2036</v>
      </c>
      <c r="B294" s="39">
        <f t="shared" si="22"/>
        <v>5</v>
      </c>
      <c r="C294" s="10">
        <f t="shared" si="20"/>
        <v>2726.6545721843722</v>
      </c>
      <c r="D294" s="10">
        <f t="shared" si="23"/>
        <v>96.86490170513648</v>
      </c>
      <c r="E294" s="10">
        <f t="shared" si="24"/>
        <v>18745.255561507092</v>
      </c>
    </row>
    <row r="295" spans="1:5" ht="12.75">
      <c r="A295" s="39">
        <f t="shared" si="21"/>
        <v>2036</v>
      </c>
      <c r="B295" s="39">
        <f t="shared" si="22"/>
        <v>6</v>
      </c>
      <c r="C295" s="10">
        <f t="shared" si="20"/>
        <v>2726.6545721843722</v>
      </c>
      <c r="D295" s="10">
        <f t="shared" si="23"/>
        <v>84.947531932512</v>
      </c>
      <c r="E295" s="10">
        <f t="shared" si="24"/>
        <v>16103.548521255232</v>
      </c>
    </row>
    <row r="296" spans="1:5" ht="12.75">
      <c r="A296" s="39">
        <f t="shared" si="21"/>
        <v>2036</v>
      </c>
      <c r="B296" s="39">
        <f t="shared" si="22"/>
        <v>7</v>
      </c>
      <c r="C296" s="10">
        <f t="shared" si="20"/>
        <v>2726.6545721843722</v>
      </c>
      <c r="D296" s="10">
        <f t="shared" si="23"/>
        <v>72.976156433159</v>
      </c>
      <c r="E296" s="10">
        <f t="shared" si="24"/>
        <v>13449.870105504018</v>
      </c>
    </row>
    <row r="297" spans="1:5" ht="12.75">
      <c r="A297" s="39">
        <f t="shared" si="21"/>
        <v>2036</v>
      </c>
      <c r="B297" s="39">
        <f t="shared" si="22"/>
        <v>8</v>
      </c>
      <c r="C297" s="10">
        <f t="shared" si="20"/>
        <v>2726.6545721843722</v>
      </c>
      <c r="D297" s="10">
        <f t="shared" si="23"/>
        <v>60.95053047031295</v>
      </c>
      <c r="E297" s="10">
        <f t="shared" si="24"/>
        <v>10784.166063789959</v>
      </c>
    </row>
    <row r="298" spans="1:5" ht="12.75">
      <c r="A298" s="39">
        <f t="shared" si="21"/>
        <v>2036</v>
      </c>
      <c r="B298" s="39">
        <f t="shared" si="22"/>
        <v>9</v>
      </c>
      <c r="C298" s="10">
        <f t="shared" si="20"/>
        <v>2726.6545721843722</v>
      </c>
      <c r="D298" s="10">
        <f t="shared" si="23"/>
        <v>48.870408198140225</v>
      </c>
      <c r="E298" s="10">
        <f t="shared" si="24"/>
        <v>8106.381899803726</v>
      </c>
    </row>
    <row r="299" spans="1:5" ht="12.75">
      <c r="A299" s="39">
        <f t="shared" si="21"/>
        <v>2036</v>
      </c>
      <c r="B299" s="39">
        <f t="shared" si="22"/>
        <v>10</v>
      </c>
      <c r="C299" s="10">
        <f t="shared" si="20"/>
        <v>2726.6545721843722</v>
      </c>
      <c r="D299" s="10">
        <f t="shared" si="23"/>
        <v>36.73554265671215</v>
      </c>
      <c r="E299" s="10">
        <f t="shared" si="24"/>
        <v>5416.462870276066</v>
      </c>
    </row>
    <row r="300" spans="1:5" ht="12.75">
      <c r="A300" s="39">
        <f t="shared" si="21"/>
        <v>2036</v>
      </c>
      <c r="B300" s="39">
        <f t="shared" si="22"/>
        <v>11</v>
      </c>
      <c r="C300" s="10">
        <f t="shared" si="20"/>
        <v>2726.6545721843722</v>
      </c>
      <c r="D300" s="10">
        <f t="shared" si="23"/>
        <v>24.54568576695623</v>
      </c>
      <c r="E300" s="10">
        <f t="shared" si="24"/>
        <v>2714.3539838586494</v>
      </c>
    </row>
    <row r="301" spans="1:5" ht="12.75">
      <c r="A301" s="39">
        <f t="shared" si="21"/>
        <v>2036</v>
      </c>
      <c r="B301" s="39">
        <f t="shared" si="22"/>
        <v>12</v>
      </c>
      <c r="C301" s="10">
        <f t="shared" si="20"/>
        <v>2726.6545721843722</v>
      </c>
      <c r="D301" s="10">
        <f t="shared" si="23"/>
        <v>12.300588325584593</v>
      </c>
      <c r="E301" s="10">
        <f t="shared" si="24"/>
        <v>0</v>
      </c>
    </row>
    <row r="302" spans="1:5" ht="12.75">
      <c r="A302" s="39">
        <f t="shared" si="21"/>
        <v>2037</v>
      </c>
      <c r="B302" s="39">
        <f t="shared" si="22"/>
        <v>1</v>
      </c>
      <c r="C302" s="10">
        <f t="shared" si="20"/>
        <v>2726.6545721843722</v>
      </c>
      <c r="D302" s="10">
        <f t="shared" si="23"/>
        <v>0</v>
      </c>
      <c r="E302" s="10">
        <f t="shared" si="24"/>
        <v>0</v>
      </c>
    </row>
    <row r="303" spans="1:5" ht="12.75">
      <c r="A303" s="39">
        <f t="shared" si="21"/>
        <v>2037</v>
      </c>
      <c r="B303" s="39">
        <f t="shared" si="22"/>
        <v>2</v>
      </c>
      <c r="C303" s="10">
        <f t="shared" si="20"/>
        <v>2726.6545721843722</v>
      </c>
      <c r="D303" s="10">
        <f t="shared" si="23"/>
        <v>0</v>
      </c>
      <c r="E303" s="10">
        <f t="shared" si="24"/>
        <v>0</v>
      </c>
    </row>
    <row r="304" spans="1:5" ht="12.75">
      <c r="A304" s="39">
        <f t="shared" si="21"/>
        <v>2037</v>
      </c>
      <c r="B304" s="39">
        <f t="shared" si="22"/>
        <v>3</v>
      </c>
      <c r="C304" s="10">
        <f t="shared" si="20"/>
        <v>2726.6545721843722</v>
      </c>
      <c r="D304" s="10">
        <f t="shared" si="23"/>
        <v>0</v>
      </c>
      <c r="E304" s="10">
        <f t="shared" si="24"/>
        <v>0</v>
      </c>
    </row>
    <row r="305" spans="1:5" ht="12.75">
      <c r="A305" s="39">
        <f t="shared" si="21"/>
        <v>2037</v>
      </c>
      <c r="B305" s="39">
        <f t="shared" si="22"/>
        <v>4</v>
      </c>
      <c r="C305" s="10">
        <f t="shared" si="20"/>
        <v>2726.6545721843722</v>
      </c>
      <c r="D305" s="10">
        <f t="shared" si="23"/>
        <v>0</v>
      </c>
      <c r="E305" s="10">
        <f t="shared" si="24"/>
        <v>0</v>
      </c>
    </row>
    <row r="306" spans="1:5" ht="12.75">
      <c r="A306" s="39">
        <f t="shared" si="21"/>
        <v>2037</v>
      </c>
      <c r="B306" s="39">
        <f t="shared" si="22"/>
        <v>5</v>
      </c>
      <c r="C306" s="10">
        <f t="shared" si="20"/>
        <v>2726.6545721843722</v>
      </c>
      <c r="D306" s="10">
        <f t="shared" si="23"/>
        <v>0</v>
      </c>
      <c r="E306" s="10">
        <f t="shared" si="24"/>
        <v>0</v>
      </c>
    </row>
    <row r="307" spans="1:5" ht="12.75">
      <c r="A307" s="39">
        <f t="shared" si="21"/>
        <v>2037</v>
      </c>
      <c r="B307" s="39">
        <f t="shared" si="22"/>
        <v>6</v>
      </c>
      <c r="C307" s="10">
        <f t="shared" si="20"/>
        <v>2726.6545721843722</v>
      </c>
      <c r="D307" s="10">
        <f t="shared" si="23"/>
        <v>0</v>
      </c>
      <c r="E307" s="10">
        <f t="shared" si="24"/>
        <v>0</v>
      </c>
    </row>
    <row r="308" spans="1:5" ht="12.75">
      <c r="A308" s="39">
        <f t="shared" si="21"/>
        <v>2037</v>
      </c>
      <c r="B308" s="39">
        <f t="shared" si="22"/>
        <v>7</v>
      </c>
      <c r="C308" s="10">
        <f t="shared" si="20"/>
        <v>2726.6545721843722</v>
      </c>
      <c r="D308" s="10">
        <f t="shared" si="23"/>
        <v>0</v>
      </c>
      <c r="E308" s="10">
        <f t="shared" si="24"/>
        <v>0</v>
      </c>
    </row>
    <row r="309" spans="1:5" ht="12.75">
      <c r="A309" s="39">
        <f t="shared" si="21"/>
        <v>2037</v>
      </c>
      <c r="B309" s="39">
        <f t="shared" si="22"/>
        <v>8</v>
      </c>
      <c r="C309" s="10">
        <f t="shared" si="20"/>
        <v>2726.6545721843722</v>
      </c>
      <c r="D309" s="10">
        <f t="shared" si="23"/>
        <v>0</v>
      </c>
      <c r="E309" s="10">
        <f t="shared" si="24"/>
        <v>0</v>
      </c>
    </row>
    <row r="310" spans="1:5" ht="12.75">
      <c r="A310" s="39">
        <f t="shared" si="21"/>
        <v>2037</v>
      </c>
      <c r="B310" s="39">
        <f t="shared" si="22"/>
        <v>9</v>
      </c>
      <c r="C310" s="10">
        <f t="shared" si="20"/>
        <v>2726.6545721843722</v>
      </c>
      <c r="D310" s="10">
        <f t="shared" si="23"/>
        <v>0</v>
      </c>
      <c r="E310" s="10">
        <f t="shared" si="24"/>
        <v>0</v>
      </c>
    </row>
    <row r="311" spans="1:5" ht="12.75">
      <c r="A311" s="39">
        <f t="shared" si="21"/>
        <v>2037</v>
      </c>
      <c r="B311" s="39">
        <f t="shared" si="22"/>
        <v>10</v>
      </c>
      <c r="C311" s="10">
        <f t="shared" si="20"/>
        <v>2726.6545721843722</v>
      </c>
      <c r="D311" s="10">
        <f t="shared" si="23"/>
        <v>0</v>
      </c>
      <c r="E311" s="10">
        <f t="shared" si="24"/>
        <v>0</v>
      </c>
    </row>
    <row r="312" spans="1:5" ht="12.75">
      <c r="A312" s="39">
        <f t="shared" si="21"/>
        <v>2037</v>
      </c>
      <c r="B312" s="39">
        <f t="shared" si="22"/>
        <v>11</v>
      </c>
      <c r="C312" s="10">
        <f t="shared" si="20"/>
        <v>2726.6545721843722</v>
      </c>
      <c r="D312" s="10">
        <f t="shared" si="23"/>
        <v>0</v>
      </c>
      <c r="E312" s="10">
        <f t="shared" si="24"/>
        <v>0</v>
      </c>
    </row>
    <row r="313" spans="1:5" ht="12.75">
      <c r="A313" s="39">
        <f t="shared" si="21"/>
        <v>2037</v>
      </c>
      <c r="B313" s="39">
        <f t="shared" si="22"/>
        <v>12</v>
      </c>
      <c r="C313" s="10">
        <f t="shared" si="20"/>
        <v>2726.6545721843722</v>
      </c>
      <c r="D313" s="10">
        <f t="shared" si="23"/>
        <v>0</v>
      </c>
      <c r="E313" s="10">
        <f t="shared" si="24"/>
        <v>0</v>
      </c>
    </row>
    <row r="314" spans="1:5" ht="12.75">
      <c r="A314" s="39">
        <f t="shared" si="21"/>
        <v>2038</v>
      </c>
      <c r="B314" s="39">
        <f t="shared" si="22"/>
        <v>1</v>
      </c>
      <c r="C314" s="10">
        <f t="shared" si="20"/>
        <v>2726.6545721843722</v>
      </c>
      <c r="D314" s="10">
        <f t="shared" si="23"/>
        <v>0</v>
      </c>
      <c r="E314" s="10">
        <f t="shared" si="24"/>
        <v>0</v>
      </c>
    </row>
    <row r="315" spans="1:5" ht="12.75">
      <c r="A315" s="39">
        <f t="shared" si="21"/>
        <v>2038</v>
      </c>
      <c r="B315" s="39">
        <f t="shared" si="22"/>
        <v>2</v>
      </c>
      <c r="C315" s="10">
        <f t="shared" si="20"/>
        <v>2726.6545721843722</v>
      </c>
      <c r="D315" s="10">
        <f t="shared" si="23"/>
        <v>0</v>
      </c>
      <c r="E315" s="10">
        <f t="shared" si="24"/>
        <v>0</v>
      </c>
    </row>
    <row r="316" spans="1:5" ht="12.75">
      <c r="A316" s="39">
        <f t="shared" si="21"/>
        <v>2038</v>
      </c>
      <c r="B316" s="39">
        <f t="shared" si="22"/>
        <v>3</v>
      </c>
      <c r="C316" s="10">
        <f t="shared" si="20"/>
        <v>2726.6545721843722</v>
      </c>
      <c r="D316" s="10">
        <f t="shared" si="23"/>
        <v>0</v>
      </c>
      <c r="E316" s="10">
        <f t="shared" si="24"/>
        <v>0</v>
      </c>
    </row>
    <row r="317" spans="1:5" ht="12.75">
      <c r="A317" s="39">
        <f t="shared" si="21"/>
        <v>2038</v>
      </c>
      <c r="B317" s="39">
        <f t="shared" si="22"/>
        <v>4</v>
      </c>
      <c r="C317" s="10">
        <f t="shared" si="20"/>
        <v>2726.6545721843722</v>
      </c>
      <c r="D317" s="10">
        <f t="shared" si="23"/>
        <v>0</v>
      </c>
      <c r="E317" s="10">
        <f t="shared" si="24"/>
        <v>0</v>
      </c>
    </row>
    <row r="318" spans="1:5" ht="12.75">
      <c r="A318" s="39">
        <f t="shared" si="21"/>
        <v>2038</v>
      </c>
      <c r="B318" s="39">
        <f t="shared" si="22"/>
        <v>5</v>
      </c>
      <c r="C318" s="10">
        <f t="shared" si="20"/>
        <v>2726.6545721843722</v>
      </c>
      <c r="D318" s="10">
        <f t="shared" si="23"/>
        <v>0</v>
      </c>
      <c r="E318" s="10">
        <f t="shared" si="24"/>
        <v>0</v>
      </c>
    </row>
    <row r="319" spans="1:5" ht="12.75">
      <c r="A319" s="39">
        <f t="shared" si="21"/>
        <v>2038</v>
      </c>
      <c r="B319" s="39">
        <f t="shared" si="22"/>
        <v>6</v>
      </c>
      <c r="C319" s="10">
        <f t="shared" si="20"/>
        <v>2726.6545721843722</v>
      </c>
      <c r="D319" s="10">
        <f t="shared" si="23"/>
        <v>0</v>
      </c>
      <c r="E319" s="10">
        <f t="shared" si="24"/>
        <v>0</v>
      </c>
    </row>
    <row r="320" spans="1:5" ht="12.75">
      <c r="A320" s="39">
        <f t="shared" si="21"/>
        <v>2038</v>
      </c>
      <c r="B320" s="39">
        <f t="shared" si="22"/>
        <v>7</v>
      </c>
      <c r="C320" s="10">
        <f t="shared" si="20"/>
        <v>2726.6545721843722</v>
      </c>
      <c r="D320" s="10">
        <f t="shared" si="23"/>
        <v>0</v>
      </c>
      <c r="E320" s="10">
        <f t="shared" si="24"/>
        <v>0</v>
      </c>
    </row>
    <row r="321" spans="1:5" ht="12.75">
      <c r="A321" s="39">
        <f t="shared" si="21"/>
        <v>2038</v>
      </c>
      <c r="B321" s="39">
        <f t="shared" si="22"/>
        <v>8</v>
      </c>
      <c r="C321" s="10">
        <f t="shared" si="20"/>
        <v>2726.6545721843722</v>
      </c>
      <c r="D321" s="10">
        <f t="shared" si="23"/>
        <v>0</v>
      </c>
      <c r="E321" s="10">
        <f t="shared" si="24"/>
        <v>0</v>
      </c>
    </row>
    <row r="322" spans="1:5" ht="12.75">
      <c r="A322" s="39">
        <f t="shared" si="21"/>
        <v>2038</v>
      </c>
      <c r="B322" s="39">
        <f t="shared" si="22"/>
        <v>9</v>
      </c>
      <c r="C322" s="10">
        <f aca="true" t="shared" si="25" ref="C322:C361">IF((((A322-$A$2)+1)&gt;10),$I$15,IF((((A322-$A$2)+1)&gt;5),$I$14,$I$13))</f>
        <v>2726.6545721843722</v>
      </c>
      <c r="D322" s="10">
        <f t="shared" si="23"/>
        <v>0</v>
      </c>
      <c r="E322" s="10">
        <f t="shared" si="24"/>
        <v>0</v>
      </c>
    </row>
    <row r="323" spans="1:5" ht="12.75">
      <c r="A323" s="39">
        <f aca="true" t="shared" si="26" ref="A323:A361">IF((B323=1),(A322+1),A322)</f>
        <v>2038</v>
      </c>
      <c r="B323" s="39">
        <f aca="true" t="shared" si="27" ref="B323:B361">IF((B322=12),1,(B322+1))</f>
        <v>10</v>
      </c>
      <c r="C323" s="10">
        <f t="shared" si="25"/>
        <v>2726.6545721843722</v>
      </c>
      <c r="D323" s="10">
        <f aca="true" t="shared" si="28" ref="D323:D361">IF((((A323-$A$2)+1)&gt;10),$H$15,IF((((A323-$A$2)+1)&gt;5),$H$14,$H$13))*E322</f>
        <v>0</v>
      </c>
      <c r="E323" s="10">
        <f aca="true" t="shared" si="29" ref="E323:E361">MAX((E322-(C323-D323)),0)</f>
        <v>0</v>
      </c>
    </row>
    <row r="324" spans="1:5" ht="12.75">
      <c r="A324" s="39">
        <f t="shared" si="26"/>
        <v>2038</v>
      </c>
      <c r="B324" s="39">
        <f t="shared" si="27"/>
        <v>11</v>
      </c>
      <c r="C324" s="10">
        <f t="shared" si="25"/>
        <v>2726.6545721843722</v>
      </c>
      <c r="D324" s="10">
        <f t="shared" si="28"/>
        <v>0</v>
      </c>
      <c r="E324" s="10">
        <f t="shared" si="29"/>
        <v>0</v>
      </c>
    </row>
    <row r="325" spans="1:5" ht="12.75">
      <c r="A325" s="39">
        <f t="shared" si="26"/>
        <v>2038</v>
      </c>
      <c r="B325" s="39">
        <f t="shared" si="27"/>
        <v>12</v>
      </c>
      <c r="C325" s="10">
        <f t="shared" si="25"/>
        <v>2726.6545721843722</v>
      </c>
      <c r="D325" s="10">
        <f t="shared" si="28"/>
        <v>0</v>
      </c>
      <c r="E325" s="10">
        <f t="shared" si="29"/>
        <v>0</v>
      </c>
    </row>
    <row r="326" spans="1:5" ht="12.75">
      <c r="A326" s="39">
        <f t="shared" si="26"/>
        <v>2039</v>
      </c>
      <c r="B326" s="39">
        <f t="shared" si="27"/>
        <v>1</v>
      </c>
      <c r="C326" s="10">
        <f t="shared" si="25"/>
        <v>2726.6545721843722</v>
      </c>
      <c r="D326" s="10">
        <f t="shared" si="28"/>
        <v>0</v>
      </c>
      <c r="E326" s="10">
        <f t="shared" si="29"/>
        <v>0</v>
      </c>
    </row>
    <row r="327" spans="1:5" ht="12.75">
      <c r="A327" s="39">
        <f t="shared" si="26"/>
        <v>2039</v>
      </c>
      <c r="B327" s="39">
        <f t="shared" si="27"/>
        <v>2</v>
      </c>
      <c r="C327" s="10">
        <f t="shared" si="25"/>
        <v>2726.6545721843722</v>
      </c>
      <c r="D327" s="10">
        <f t="shared" si="28"/>
        <v>0</v>
      </c>
      <c r="E327" s="10">
        <f t="shared" si="29"/>
        <v>0</v>
      </c>
    </row>
    <row r="328" spans="1:5" ht="12.75">
      <c r="A328" s="39">
        <f t="shared" si="26"/>
        <v>2039</v>
      </c>
      <c r="B328" s="39">
        <f t="shared" si="27"/>
        <v>3</v>
      </c>
      <c r="C328" s="10">
        <f t="shared" si="25"/>
        <v>2726.6545721843722</v>
      </c>
      <c r="D328" s="10">
        <f t="shared" si="28"/>
        <v>0</v>
      </c>
      <c r="E328" s="10">
        <f t="shared" si="29"/>
        <v>0</v>
      </c>
    </row>
    <row r="329" spans="1:5" ht="12.75">
      <c r="A329" s="39">
        <f t="shared" si="26"/>
        <v>2039</v>
      </c>
      <c r="B329" s="39">
        <f t="shared" si="27"/>
        <v>4</v>
      </c>
      <c r="C329" s="10">
        <f t="shared" si="25"/>
        <v>2726.6545721843722</v>
      </c>
      <c r="D329" s="10">
        <f t="shared" si="28"/>
        <v>0</v>
      </c>
      <c r="E329" s="10">
        <f t="shared" si="29"/>
        <v>0</v>
      </c>
    </row>
    <row r="330" spans="1:5" ht="12.75">
      <c r="A330" s="39">
        <f t="shared" si="26"/>
        <v>2039</v>
      </c>
      <c r="B330" s="39">
        <f t="shared" si="27"/>
        <v>5</v>
      </c>
      <c r="C330" s="10">
        <f t="shared" si="25"/>
        <v>2726.6545721843722</v>
      </c>
      <c r="D330" s="10">
        <f t="shared" si="28"/>
        <v>0</v>
      </c>
      <c r="E330" s="10">
        <f t="shared" si="29"/>
        <v>0</v>
      </c>
    </row>
    <row r="331" spans="1:5" ht="12.75">
      <c r="A331" s="39">
        <f t="shared" si="26"/>
        <v>2039</v>
      </c>
      <c r="B331" s="39">
        <f t="shared" si="27"/>
        <v>6</v>
      </c>
      <c r="C331" s="10">
        <f t="shared" si="25"/>
        <v>2726.6545721843722</v>
      </c>
      <c r="D331" s="10">
        <f t="shared" si="28"/>
        <v>0</v>
      </c>
      <c r="E331" s="10">
        <f t="shared" si="29"/>
        <v>0</v>
      </c>
    </row>
    <row r="332" spans="1:5" ht="12.75">
      <c r="A332" s="39">
        <f t="shared" si="26"/>
        <v>2039</v>
      </c>
      <c r="B332" s="39">
        <f t="shared" si="27"/>
        <v>7</v>
      </c>
      <c r="C332" s="10">
        <f t="shared" si="25"/>
        <v>2726.6545721843722</v>
      </c>
      <c r="D332" s="10">
        <f t="shared" si="28"/>
        <v>0</v>
      </c>
      <c r="E332" s="10">
        <f t="shared" si="29"/>
        <v>0</v>
      </c>
    </row>
    <row r="333" spans="1:5" ht="12.75">
      <c r="A333" s="39">
        <f t="shared" si="26"/>
        <v>2039</v>
      </c>
      <c r="B333" s="39">
        <f t="shared" si="27"/>
        <v>8</v>
      </c>
      <c r="C333" s="10">
        <f t="shared" si="25"/>
        <v>2726.6545721843722</v>
      </c>
      <c r="D333" s="10">
        <f t="shared" si="28"/>
        <v>0</v>
      </c>
      <c r="E333" s="10">
        <f t="shared" si="29"/>
        <v>0</v>
      </c>
    </row>
    <row r="334" spans="1:5" ht="12.75">
      <c r="A334" s="39">
        <f t="shared" si="26"/>
        <v>2039</v>
      </c>
      <c r="B334" s="39">
        <f t="shared" si="27"/>
        <v>9</v>
      </c>
      <c r="C334" s="10">
        <f t="shared" si="25"/>
        <v>2726.6545721843722</v>
      </c>
      <c r="D334" s="10">
        <f t="shared" si="28"/>
        <v>0</v>
      </c>
      <c r="E334" s="10">
        <f t="shared" si="29"/>
        <v>0</v>
      </c>
    </row>
    <row r="335" spans="1:5" ht="12.75">
      <c r="A335" s="39">
        <f t="shared" si="26"/>
        <v>2039</v>
      </c>
      <c r="B335" s="39">
        <f t="shared" si="27"/>
        <v>10</v>
      </c>
      <c r="C335" s="10">
        <f t="shared" si="25"/>
        <v>2726.6545721843722</v>
      </c>
      <c r="D335" s="10">
        <f t="shared" si="28"/>
        <v>0</v>
      </c>
      <c r="E335" s="10">
        <f t="shared" si="29"/>
        <v>0</v>
      </c>
    </row>
    <row r="336" spans="1:5" ht="12.75">
      <c r="A336" s="39">
        <f t="shared" si="26"/>
        <v>2039</v>
      </c>
      <c r="B336" s="39">
        <f t="shared" si="27"/>
        <v>11</v>
      </c>
      <c r="C336" s="10">
        <f t="shared" si="25"/>
        <v>2726.6545721843722</v>
      </c>
      <c r="D336" s="10">
        <f t="shared" si="28"/>
        <v>0</v>
      </c>
      <c r="E336" s="10">
        <f t="shared" si="29"/>
        <v>0</v>
      </c>
    </row>
    <row r="337" spans="1:5" ht="12.75">
      <c r="A337" s="39">
        <f t="shared" si="26"/>
        <v>2039</v>
      </c>
      <c r="B337" s="39">
        <f t="shared" si="27"/>
        <v>12</v>
      </c>
      <c r="C337" s="10">
        <f t="shared" si="25"/>
        <v>2726.6545721843722</v>
      </c>
      <c r="D337" s="10">
        <f t="shared" si="28"/>
        <v>0</v>
      </c>
      <c r="E337" s="10">
        <f t="shared" si="29"/>
        <v>0</v>
      </c>
    </row>
    <row r="338" spans="1:5" ht="12.75">
      <c r="A338" s="39">
        <f t="shared" si="26"/>
        <v>2040</v>
      </c>
      <c r="B338" s="39">
        <f t="shared" si="27"/>
        <v>1</v>
      </c>
      <c r="C338" s="10">
        <f t="shared" si="25"/>
        <v>2726.6545721843722</v>
      </c>
      <c r="D338" s="10">
        <f t="shared" si="28"/>
        <v>0</v>
      </c>
      <c r="E338" s="10">
        <f t="shared" si="29"/>
        <v>0</v>
      </c>
    </row>
    <row r="339" spans="1:5" ht="12.75">
      <c r="A339" s="39">
        <f t="shared" si="26"/>
        <v>2040</v>
      </c>
      <c r="B339" s="39">
        <f t="shared" si="27"/>
        <v>2</v>
      </c>
      <c r="C339" s="10">
        <f t="shared" si="25"/>
        <v>2726.6545721843722</v>
      </c>
      <c r="D339" s="10">
        <f t="shared" si="28"/>
        <v>0</v>
      </c>
      <c r="E339" s="10">
        <f t="shared" si="29"/>
        <v>0</v>
      </c>
    </row>
    <row r="340" spans="1:5" ht="12.75">
      <c r="A340" s="39">
        <f t="shared" si="26"/>
        <v>2040</v>
      </c>
      <c r="B340" s="39">
        <f t="shared" si="27"/>
        <v>3</v>
      </c>
      <c r="C340" s="10">
        <f t="shared" si="25"/>
        <v>2726.6545721843722</v>
      </c>
      <c r="D340" s="10">
        <f t="shared" si="28"/>
        <v>0</v>
      </c>
      <c r="E340" s="10">
        <f t="shared" si="29"/>
        <v>0</v>
      </c>
    </row>
    <row r="341" spans="1:5" ht="12.75">
      <c r="A341" s="39">
        <f t="shared" si="26"/>
        <v>2040</v>
      </c>
      <c r="B341" s="39">
        <f t="shared" si="27"/>
        <v>4</v>
      </c>
      <c r="C341" s="10">
        <f t="shared" si="25"/>
        <v>2726.6545721843722</v>
      </c>
      <c r="D341" s="10">
        <f t="shared" si="28"/>
        <v>0</v>
      </c>
      <c r="E341" s="10">
        <f t="shared" si="29"/>
        <v>0</v>
      </c>
    </row>
    <row r="342" spans="1:5" ht="12.75">
      <c r="A342" s="39">
        <f t="shared" si="26"/>
        <v>2040</v>
      </c>
      <c r="B342" s="39">
        <f t="shared" si="27"/>
        <v>5</v>
      </c>
      <c r="C342" s="10">
        <f t="shared" si="25"/>
        <v>2726.6545721843722</v>
      </c>
      <c r="D342" s="10">
        <f t="shared" si="28"/>
        <v>0</v>
      </c>
      <c r="E342" s="10">
        <f t="shared" si="29"/>
        <v>0</v>
      </c>
    </row>
    <row r="343" spans="1:5" ht="12.75">
      <c r="A343" s="39">
        <f t="shared" si="26"/>
        <v>2040</v>
      </c>
      <c r="B343" s="39">
        <f t="shared" si="27"/>
        <v>6</v>
      </c>
      <c r="C343" s="10">
        <f t="shared" si="25"/>
        <v>2726.6545721843722</v>
      </c>
      <c r="D343" s="10">
        <f t="shared" si="28"/>
        <v>0</v>
      </c>
      <c r="E343" s="10">
        <f t="shared" si="29"/>
        <v>0</v>
      </c>
    </row>
    <row r="344" spans="1:5" ht="12.75">
      <c r="A344" s="39">
        <f t="shared" si="26"/>
        <v>2040</v>
      </c>
      <c r="B344" s="39">
        <f t="shared" si="27"/>
        <v>7</v>
      </c>
      <c r="C344" s="10">
        <f t="shared" si="25"/>
        <v>2726.6545721843722</v>
      </c>
      <c r="D344" s="10">
        <f t="shared" si="28"/>
        <v>0</v>
      </c>
      <c r="E344" s="10">
        <f t="shared" si="29"/>
        <v>0</v>
      </c>
    </row>
    <row r="345" spans="1:5" ht="12.75">
      <c r="A345" s="39">
        <f t="shared" si="26"/>
        <v>2040</v>
      </c>
      <c r="B345" s="39">
        <f t="shared" si="27"/>
        <v>8</v>
      </c>
      <c r="C345" s="10">
        <f t="shared" si="25"/>
        <v>2726.6545721843722</v>
      </c>
      <c r="D345" s="10">
        <f t="shared" si="28"/>
        <v>0</v>
      </c>
      <c r="E345" s="10">
        <f t="shared" si="29"/>
        <v>0</v>
      </c>
    </row>
    <row r="346" spans="1:5" ht="12.75">
      <c r="A346" s="39">
        <f t="shared" si="26"/>
        <v>2040</v>
      </c>
      <c r="B346" s="39">
        <f t="shared" si="27"/>
        <v>9</v>
      </c>
      <c r="C346" s="10">
        <f t="shared" si="25"/>
        <v>2726.6545721843722</v>
      </c>
      <c r="D346" s="10">
        <f t="shared" si="28"/>
        <v>0</v>
      </c>
      <c r="E346" s="10">
        <f t="shared" si="29"/>
        <v>0</v>
      </c>
    </row>
    <row r="347" spans="1:5" ht="12.75">
      <c r="A347" s="39">
        <f t="shared" si="26"/>
        <v>2040</v>
      </c>
      <c r="B347" s="39">
        <f t="shared" si="27"/>
        <v>10</v>
      </c>
      <c r="C347" s="10">
        <f t="shared" si="25"/>
        <v>2726.6545721843722</v>
      </c>
      <c r="D347" s="10">
        <f t="shared" si="28"/>
        <v>0</v>
      </c>
      <c r="E347" s="10">
        <f t="shared" si="29"/>
        <v>0</v>
      </c>
    </row>
    <row r="348" spans="1:5" ht="12.75">
      <c r="A348" s="39">
        <f t="shared" si="26"/>
        <v>2040</v>
      </c>
      <c r="B348" s="39">
        <f t="shared" si="27"/>
        <v>11</v>
      </c>
      <c r="C348" s="10">
        <f t="shared" si="25"/>
        <v>2726.6545721843722</v>
      </c>
      <c r="D348" s="10">
        <f t="shared" si="28"/>
        <v>0</v>
      </c>
      <c r="E348" s="10">
        <f t="shared" si="29"/>
        <v>0</v>
      </c>
    </row>
    <row r="349" spans="1:5" ht="12.75">
      <c r="A349" s="39">
        <f t="shared" si="26"/>
        <v>2040</v>
      </c>
      <c r="B349" s="39">
        <f t="shared" si="27"/>
        <v>12</v>
      </c>
      <c r="C349" s="10">
        <f t="shared" si="25"/>
        <v>2726.6545721843722</v>
      </c>
      <c r="D349" s="10">
        <f t="shared" si="28"/>
        <v>0</v>
      </c>
      <c r="E349" s="10">
        <f t="shared" si="29"/>
        <v>0</v>
      </c>
    </row>
    <row r="350" spans="1:5" ht="12.75">
      <c r="A350" s="39">
        <f t="shared" si="26"/>
        <v>2041</v>
      </c>
      <c r="B350" s="39">
        <f t="shared" si="27"/>
        <v>1</v>
      </c>
      <c r="C350" s="10">
        <f t="shared" si="25"/>
        <v>2726.6545721843722</v>
      </c>
      <c r="D350" s="10">
        <f t="shared" si="28"/>
        <v>0</v>
      </c>
      <c r="E350" s="10">
        <f t="shared" si="29"/>
        <v>0</v>
      </c>
    </row>
    <row r="351" spans="1:5" ht="12.75">
      <c r="A351" s="39">
        <f t="shared" si="26"/>
        <v>2041</v>
      </c>
      <c r="B351" s="39">
        <f t="shared" si="27"/>
        <v>2</v>
      </c>
      <c r="C351" s="10">
        <f t="shared" si="25"/>
        <v>2726.6545721843722</v>
      </c>
      <c r="D351" s="10">
        <f t="shared" si="28"/>
        <v>0</v>
      </c>
      <c r="E351" s="10">
        <f t="shared" si="29"/>
        <v>0</v>
      </c>
    </row>
    <row r="352" spans="1:5" ht="12.75">
      <c r="A352" s="39">
        <f t="shared" si="26"/>
        <v>2041</v>
      </c>
      <c r="B352" s="39">
        <f t="shared" si="27"/>
        <v>3</v>
      </c>
      <c r="C352" s="10">
        <f t="shared" si="25"/>
        <v>2726.6545721843722</v>
      </c>
      <c r="D352" s="10">
        <f t="shared" si="28"/>
        <v>0</v>
      </c>
      <c r="E352" s="10">
        <f t="shared" si="29"/>
        <v>0</v>
      </c>
    </row>
    <row r="353" spans="1:5" ht="12.75">
      <c r="A353" s="39">
        <f t="shared" si="26"/>
        <v>2041</v>
      </c>
      <c r="B353" s="39">
        <f t="shared" si="27"/>
        <v>4</v>
      </c>
      <c r="C353" s="10">
        <f t="shared" si="25"/>
        <v>2726.6545721843722</v>
      </c>
      <c r="D353" s="10">
        <f t="shared" si="28"/>
        <v>0</v>
      </c>
      <c r="E353" s="10">
        <f t="shared" si="29"/>
        <v>0</v>
      </c>
    </row>
    <row r="354" spans="1:5" ht="12.75">
      <c r="A354" s="39">
        <f t="shared" si="26"/>
        <v>2041</v>
      </c>
      <c r="B354" s="39">
        <f t="shared" si="27"/>
        <v>5</v>
      </c>
      <c r="C354" s="10">
        <f t="shared" si="25"/>
        <v>2726.6545721843722</v>
      </c>
      <c r="D354" s="10">
        <f t="shared" si="28"/>
        <v>0</v>
      </c>
      <c r="E354" s="10">
        <f t="shared" si="29"/>
        <v>0</v>
      </c>
    </row>
    <row r="355" spans="1:5" ht="12.75">
      <c r="A355" s="39">
        <f t="shared" si="26"/>
        <v>2041</v>
      </c>
      <c r="B355" s="39">
        <f t="shared" si="27"/>
        <v>6</v>
      </c>
      <c r="C355" s="10">
        <f t="shared" si="25"/>
        <v>2726.6545721843722</v>
      </c>
      <c r="D355" s="10">
        <f t="shared" si="28"/>
        <v>0</v>
      </c>
      <c r="E355" s="10">
        <f t="shared" si="29"/>
        <v>0</v>
      </c>
    </row>
    <row r="356" spans="1:5" ht="12.75">
      <c r="A356" s="39">
        <f t="shared" si="26"/>
        <v>2041</v>
      </c>
      <c r="B356" s="39">
        <f t="shared" si="27"/>
        <v>7</v>
      </c>
      <c r="C356" s="10">
        <f t="shared" si="25"/>
        <v>2726.6545721843722</v>
      </c>
      <c r="D356" s="10">
        <f t="shared" si="28"/>
        <v>0</v>
      </c>
      <c r="E356" s="10">
        <f t="shared" si="29"/>
        <v>0</v>
      </c>
    </row>
    <row r="357" spans="1:5" ht="12.75">
      <c r="A357" s="39">
        <f t="shared" si="26"/>
        <v>2041</v>
      </c>
      <c r="B357" s="39">
        <f t="shared" si="27"/>
        <v>8</v>
      </c>
      <c r="C357" s="10">
        <f t="shared" si="25"/>
        <v>2726.6545721843722</v>
      </c>
      <c r="D357" s="10">
        <f t="shared" si="28"/>
        <v>0</v>
      </c>
      <c r="E357" s="10">
        <f t="shared" si="29"/>
        <v>0</v>
      </c>
    </row>
    <row r="358" spans="1:5" ht="12.75">
      <c r="A358" s="39">
        <f t="shared" si="26"/>
        <v>2041</v>
      </c>
      <c r="B358" s="39">
        <f t="shared" si="27"/>
        <v>9</v>
      </c>
      <c r="C358" s="10">
        <f t="shared" si="25"/>
        <v>2726.6545721843722</v>
      </c>
      <c r="D358" s="10">
        <f t="shared" si="28"/>
        <v>0</v>
      </c>
      <c r="E358" s="10">
        <f t="shared" si="29"/>
        <v>0</v>
      </c>
    </row>
    <row r="359" spans="1:5" ht="12.75">
      <c r="A359" s="39">
        <f t="shared" si="26"/>
        <v>2041</v>
      </c>
      <c r="B359" s="39">
        <f t="shared" si="27"/>
        <v>10</v>
      </c>
      <c r="C359" s="10">
        <f t="shared" si="25"/>
        <v>2726.6545721843722</v>
      </c>
      <c r="D359" s="10">
        <f t="shared" si="28"/>
        <v>0</v>
      </c>
      <c r="E359" s="10">
        <f t="shared" si="29"/>
        <v>0</v>
      </c>
    </row>
    <row r="360" spans="1:5" ht="12.75">
      <c r="A360" s="39">
        <f t="shared" si="26"/>
        <v>2041</v>
      </c>
      <c r="B360" s="39">
        <f t="shared" si="27"/>
        <v>11</v>
      </c>
      <c r="C360" s="10">
        <f t="shared" si="25"/>
        <v>2726.6545721843722</v>
      </c>
      <c r="D360" s="10">
        <f t="shared" si="28"/>
        <v>0</v>
      </c>
      <c r="E360" s="10">
        <f t="shared" si="29"/>
        <v>0</v>
      </c>
    </row>
    <row r="361" spans="1:5" ht="12.75">
      <c r="A361" s="39">
        <f t="shared" si="26"/>
        <v>2041</v>
      </c>
      <c r="B361" s="39">
        <f t="shared" si="27"/>
        <v>12</v>
      </c>
      <c r="C361" s="10">
        <f t="shared" si="25"/>
        <v>2726.6545721843722</v>
      </c>
      <c r="D361" s="10">
        <f t="shared" si="28"/>
        <v>0</v>
      </c>
      <c r="E361" s="10">
        <f t="shared" si="29"/>
        <v>0</v>
      </c>
    </row>
  </sheetData>
  <sheetProtection/>
  <mergeCells count="2">
    <mergeCell ref="G1:H1"/>
    <mergeCell ref="G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Robertson</dc:creator>
  <cp:keywords/>
  <dc:description/>
  <cp:lastModifiedBy>John Robertson</cp:lastModifiedBy>
  <dcterms:created xsi:type="dcterms:W3CDTF">2013-12-12T02:41:56Z</dcterms:created>
  <dcterms:modified xsi:type="dcterms:W3CDTF">2014-03-16T03:13:41Z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